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defaultThemeVersion="124226"/>
  <bookViews>
    <workbookView xWindow="12555" yWindow="-90" windowWidth="16245" windowHeight="11760" firstSheet="1" activeTab="1"/>
  </bookViews>
  <sheets>
    <sheet name="SGV" sheetId="21" state="veryHidden" r:id="rId1"/>
    <sheet name="Biểu số 01" sheetId="24" r:id="rId2"/>
    <sheet name="Phụ lục 1 (5)" sheetId="19" state="hidden" r:id="rId3"/>
    <sheet name="Phụ lục 1 (4)" sheetId="18" state="hidden" r:id="rId4"/>
    <sheet name="Phụ lục 01" sheetId="16" state="hidden" r:id="rId5"/>
    <sheet name="Phụ lục 1" sheetId="1" state="hidden" r:id="rId6"/>
    <sheet name="Phụ lục 2" sheetId="6" state="hidden" r:id="rId7"/>
    <sheet name="Phụ lục 3" sheetId="7" state="hidden" r:id="rId8"/>
    <sheet name="Phụ lục 4" sheetId="8" state="hidden" r:id="rId9"/>
    <sheet name="DỰ KIẾN DANH MỤC" sheetId="13" state="hidden" r:id="rId10"/>
    <sheet name="NĂM 2022" sheetId="9" state="hidden" r:id="rId11"/>
    <sheet name="NĂM 2023" sheetId="10" state="hidden" r:id="rId12"/>
    <sheet name="NĂM 2024" sheetId="11" state="hidden" r:id="rId13"/>
    <sheet name="NĂM 2025" sheetId="12" state="hidden" r:id="rId14"/>
    <sheet name="Phụ lục số 01 DTTS" sheetId="25" r:id="rId15"/>
  </sheets>
  <externalReferences>
    <externalReference r:id="rId16"/>
    <externalReference r:id="rId17"/>
    <externalReference r:id="rId18"/>
  </externalReferences>
  <definedNames>
    <definedName name="_xlnm.Print_Area" localSheetId="1">'Biểu số 01'!$A$1:$AB$18</definedName>
    <definedName name="_xlnm.Print_Area" localSheetId="9">'DỰ KIẾN DANH MỤC'!$A$1:$S$264</definedName>
    <definedName name="_xlnm.Print_Area" localSheetId="10">'NĂM 2022'!$A$1:$P$84</definedName>
    <definedName name="_xlnm.Print_Area" localSheetId="4">'Phụ lục 01'!$A:$AL</definedName>
    <definedName name="_xlnm.Print_Area" localSheetId="5">'Phụ lục 1'!$A:$AB</definedName>
    <definedName name="_xlnm.Print_Area" localSheetId="3">'Phụ lục 1 (4)'!$A:$AL</definedName>
    <definedName name="_xlnm.Print_Area" localSheetId="2">'Phụ lục 1 (5)'!$A:$AL</definedName>
    <definedName name="_xlnm.Print_Area" localSheetId="7">'Phụ lục 3'!$A$1:$S$82</definedName>
    <definedName name="_xlnm.Print_Area" localSheetId="14">'Phụ lục số 01 DTTS'!$A$1:$L$30</definedName>
    <definedName name="_xlnm.Print_Titles" localSheetId="1">'Biểu số 01'!$6:$10</definedName>
    <definedName name="_xlnm.Print_Titles" localSheetId="9">'DỰ KIẾN DANH MỤC'!$5:$8</definedName>
    <definedName name="_xlnm.Print_Titles" localSheetId="10">'NĂM 2022'!$4:$5</definedName>
    <definedName name="_xlnm.Print_Titles" localSheetId="4">'Phụ lục 01'!#REF!</definedName>
    <definedName name="_xlnm.Print_Titles" localSheetId="5">'Phụ lục 1'!#REF!</definedName>
    <definedName name="_xlnm.Print_Titles" localSheetId="3">'Phụ lục 1 (4)'!#REF!</definedName>
    <definedName name="_xlnm.Print_Titles" localSheetId="2">'Phụ lục 1 (5)'!#REF!</definedName>
    <definedName name="_xlnm.Print_Titles" localSheetId="14">'Phụ lục số 01 DTTS'!$5:$8</definedName>
  </definedNames>
  <calcPr calcId="124519"/>
  <fileRecoveryPr repairLoad="1"/>
</workbook>
</file>

<file path=xl/calcChain.xml><?xml version="1.0" encoding="utf-8"?>
<calcChain xmlns="http://schemas.openxmlformats.org/spreadsheetml/2006/main">
  <c r="A3" i="25"/>
  <c r="K20" l="1"/>
  <c r="I20" s="1"/>
  <c r="I30"/>
  <c r="H30"/>
  <c r="G30"/>
  <c r="F30"/>
  <c r="K29"/>
  <c r="I29"/>
  <c r="H29"/>
  <c r="F29"/>
  <c r="K28"/>
  <c r="I28"/>
  <c r="H28"/>
  <c r="F28"/>
  <c r="K27"/>
  <c r="I27"/>
  <c r="H27"/>
  <c r="F27"/>
  <c r="K26"/>
  <c r="I26"/>
  <c r="H26"/>
  <c r="G26"/>
  <c r="F26"/>
  <c r="K25"/>
  <c r="I25" s="1"/>
  <c r="H25"/>
  <c r="F25" s="1"/>
  <c r="K24"/>
  <c r="I24"/>
  <c r="H24"/>
  <c r="F24"/>
  <c r="K23"/>
  <c r="J23"/>
  <c r="I23"/>
  <c r="H23"/>
  <c r="G23"/>
  <c r="F23"/>
  <c r="I22"/>
  <c r="H22"/>
  <c r="F22" s="1"/>
  <c r="K21"/>
  <c r="I21"/>
  <c r="H21"/>
  <c r="G21"/>
  <c r="F21"/>
  <c r="H20"/>
  <c r="G20"/>
  <c r="F20"/>
  <c r="K19"/>
  <c r="I19" s="1"/>
  <c r="J19"/>
  <c r="H19"/>
  <c r="G19"/>
  <c r="F19"/>
  <c r="K18"/>
  <c r="I18"/>
  <c r="H18"/>
  <c r="F18"/>
  <c r="K17"/>
  <c r="I17"/>
  <c r="H17"/>
  <c r="F17" s="1"/>
  <c r="K16"/>
  <c r="J16"/>
  <c r="I16" s="1"/>
  <c r="H16"/>
  <c r="G16"/>
  <c r="F16"/>
  <c r="K15"/>
  <c r="I15"/>
  <c r="H15"/>
  <c r="F15"/>
  <c r="K14"/>
  <c r="I14" s="1"/>
  <c r="H14"/>
  <c r="F14"/>
  <c r="J12"/>
  <c r="I12"/>
  <c r="G12"/>
  <c r="F12"/>
  <c r="K11"/>
  <c r="I11"/>
  <c r="X16" i="24" l="1"/>
  <c r="X17"/>
  <c r="X18"/>
  <c r="X15"/>
  <c r="Y14"/>
  <c r="Y13" s="1"/>
  <c r="Y12" s="1"/>
  <c r="Y11" s="1"/>
  <c r="Z14"/>
  <c r="Z13" s="1"/>
  <c r="Z12" s="1"/>
  <c r="Z11" s="1"/>
  <c r="S16"/>
  <c r="T16"/>
  <c r="S17"/>
  <c r="T17"/>
  <c r="S18"/>
  <c r="T18"/>
  <c r="T15"/>
  <c r="R15" s="1"/>
  <c r="S15"/>
  <c r="S14" s="1"/>
  <c r="S13" s="1"/>
  <c r="S12" s="1"/>
  <c r="S11" s="1"/>
  <c r="R16"/>
  <c r="P13"/>
  <c r="Q13"/>
  <c r="G16"/>
  <c r="G17" s="1"/>
  <c r="G18" s="1"/>
  <c r="T14" l="1"/>
  <c r="T13" s="1"/>
  <c r="T12" s="1"/>
  <c r="T11" s="1"/>
  <c r="R17"/>
  <c r="R18"/>
  <c r="R14" l="1"/>
  <c r="R13" s="1"/>
  <c r="R12" s="1"/>
  <c r="R11" s="1"/>
  <c r="D15" i="25" l="1"/>
  <c r="D17"/>
  <c r="D18"/>
  <c r="D22"/>
  <c r="D24"/>
  <c r="D25"/>
  <c r="D27"/>
  <c r="D28"/>
  <c r="D29"/>
  <c r="D14"/>
  <c r="E12"/>
  <c r="D11"/>
  <c r="D23" l="1"/>
  <c r="D20"/>
  <c r="A15"/>
  <c r="A16" s="1"/>
  <c r="A17" s="1"/>
  <c r="A18" s="1"/>
  <c r="A19" s="1"/>
  <c r="A20" s="1"/>
  <c r="A21" s="1"/>
  <c r="A22" s="1"/>
  <c r="A23" s="1"/>
  <c r="A24" s="1"/>
  <c r="A25" s="1"/>
  <c r="A26" s="1"/>
  <c r="A27" s="1"/>
  <c r="A28" s="1"/>
  <c r="A29" s="1"/>
  <c r="A30" s="1"/>
  <c r="D19" l="1"/>
  <c r="D12"/>
  <c r="J13"/>
  <c r="G10"/>
  <c r="J10"/>
  <c r="D10" l="1"/>
  <c r="C12"/>
  <c r="J9"/>
  <c r="M18" i="24"/>
  <c r="M17"/>
  <c r="M16"/>
  <c r="M15"/>
  <c r="O14"/>
  <c r="O13" s="1"/>
  <c r="N14"/>
  <c r="N13" s="1"/>
  <c r="M14" l="1"/>
  <c r="M13" s="1"/>
  <c r="O12"/>
  <c r="O11" s="1"/>
  <c r="N12"/>
  <c r="N11" s="1"/>
  <c r="E16"/>
  <c r="E17" s="1"/>
  <c r="E18" s="1"/>
  <c r="D26" i="25"/>
  <c r="D16"/>
  <c r="D30"/>
  <c r="D21"/>
  <c r="M12" i="24" l="1"/>
  <c r="M11" s="1"/>
  <c r="D13" i="25"/>
  <c r="D9" s="1"/>
  <c r="G13"/>
  <c r="G9" s="1"/>
  <c r="K14" i="24" l="1"/>
  <c r="K13" s="1"/>
  <c r="L14"/>
  <c r="L13" s="1"/>
  <c r="A16"/>
  <c r="A17" s="1"/>
  <c r="A18" s="1"/>
  <c r="U16" l="1"/>
  <c r="AE12" l="1"/>
  <c r="I13" i="25" l="1"/>
  <c r="K13"/>
  <c r="I10"/>
  <c r="I9" s="1"/>
  <c r="K10"/>
  <c r="K9" l="1"/>
  <c r="V14" i="24"/>
  <c r="V13" s="1"/>
  <c r="W14" l="1"/>
  <c r="W13" s="1"/>
  <c r="U15"/>
  <c r="U18"/>
  <c r="U17"/>
  <c r="J16"/>
  <c r="J17"/>
  <c r="J18"/>
  <c r="J15"/>
  <c r="K12" l="1"/>
  <c r="K11" s="1"/>
  <c r="L12"/>
  <c r="L11" s="1"/>
  <c r="U14"/>
  <c r="J14"/>
  <c r="J13" s="1"/>
  <c r="E14" i="25"/>
  <c r="C14" s="1"/>
  <c r="U13" i="24" l="1"/>
  <c r="X14"/>
  <c r="X13" s="1"/>
  <c r="E28" i="25"/>
  <c r="C28" s="1"/>
  <c r="E24"/>
  <c r="C24" s="1"/>
  <c r="E20"/>
  <c r="C20" s="1"/>
  <c r="E21"/>
  <c r="C21" s="1"/>
  <c r="E16"/>
  <c r="E29"/>
  <c r="C29" s="1"/>
  <c r="E15"/>
  <c r="C15" s="1"/>
  <c r="E25"/>
  <c r="C25" s="1"/>
  <c r="E26"/>
  <c r="C26" s="1"/>
  <c r="E19"/>
  <c r="C19" s="1"/>
  <c r="E18"/>
  <c r="C18" s="1"/>
  <c r="E23"/>
  <c r="C23" s="1"/>
  <c r="E27"/>
  <c r="C27" s="1"/>
  <c r="E30"/>
  <c r="C30" s="1"/>
  <c r="E22"/>
  <c r="C22" s="1"/>
  <c r="E17"/>
  <c r="C17" s="1"/>
  <c r="H13"/>
  <c r="W12" i="24"/>
  <c r="W11" s="1"/>
  <c r="J12"/>
  <c r="AF11"/>
  <c r="J11"/>
  <c r="X12" l="1"/>
  <c r="X11" s="1"/>
  <c r="H11" i="25" s="1"/>
  <c r="AD11" i="24"/>
  <c r="F13" i="25"/>
  <c r="E13"/>
  <c r="C16"/>
  <c r="C13" s="1"/>
  <c r="AE11" i="24"/>
  <c r="U12"/>
  <c r="U11" s="1"/>
  <c r="AE13"/>
  <c r="V12"/>
  <c r="V11" s="1"/>
  <c r="AD13"/>
  <c r="F11" i="25" l="1"/>
  <c r="F10" s="1"/>
  <c r="F9" s="1"/>
  <c r="N9" s="1"/>
  <c r="N10" s="1"/>
  <c r="N11" s="1"/>
  <c r="H10"/>
  <c r="H9" s="1"/>
  <c r="E11"/>
  <c r="A199" i="16"/>
  <c r="A200" s="1"/>
  <c r="A201" s="1"/>
  <c r="A202" s="1"/>
  <c r="A203" s="1"/>
  <c r="A204" s="1"/>
  <c r="A205" s="1"/>
  <c r="A206" s="1"/>
  <c r="A207" s="1"/>
  <c r="A208" s="1"/>
  <c r="A209" s="1"/>
  <c r="A210" s="1"/>
  <c r="A211" s="1"/>
  <c r="A212" s="1"/>
  <c r="A213" s="1"/>
  <c r="A214" s="1"/>
  <c r="A215" s="1"/>
  <c r="A216" s="1"/>
  <c r="A85"/>
  <c r="A86" s="1"/>
  <c r="A87" s="1"/>
  <c r="A88" s="1"/>
  <c r="A89" s="1"/>
  <c r="A90" s="1"/>
  <c r="A91" s="1"/>
  <c r="A92" s="1"/>
  <c r="A93" s="1"/>
  <c r="A94" s="1"/>
  <c r="A95" s="1"/>
  <c r="A96" s="1"/>
  <c r="A97" s="1"/>
  <c r="A98" s="1"/>
  <c r="A99" s="1"/>
  <c r="A100" s="1"/>
  <c r="A101" s="1"/>
  <c r="A102" s="1"/>
  <c r="A103" s="1"/>
  <c r="A32"/>
  <c r="A33" s="1"/>
  <c r="A34" s="1"/>
  <c r="A35" s="1"/>
  <c r="A36" s="1"/>
  <c r="A37" s="1"/>
  <c r="A38" s="1"/>
  <c r="A39" s="1"/>
  <c r="A40" s="1"/>
  <c r="A41" s="1"/>
  <c r="A42" s="1"/>
  <c r="A43" s="1"/>
  <c r="A44" s="1"/>
  <c r="P292" i="19"/>
  <c r="S292" s="1"/>
  <c r="O292"/>
  <c r="R292" s="1"/>
  <c r="X291"/>
  <c r="X290" s="1"/>
  <c r="S291"/>
  <c r="R291"/>
  <c r="L291" s="1"/>
  <c r="G291"/>
  <c r="G285" s="1"/>
  <c r="AK290"/>
  <c r="Z290"/>
  <c r="Y290"/>
  <c r="T290"/>
  <c r="P290"/>
  <c r="P285" s="1"/>
  <c r="J290"/>
  <c r="J285" s="1"/>
  <c r="I290"/>
  <c r="I285" s="1"/>
  <c r="H290"/>
  <c r="G290"/>
  <c r="X289"/>
  <c r="G289"/>
  <c r="X288"/>
  <c r="G288"/>
  <c r="X287"/>
  <c r="G287"/>
  <c r="X286"/>
  <c r="G286"/>
  <c r="AK285"/>
  <c r="Z285"/>
  <c r="Y285"/>
  <c r="H285"/>
  <c r="X284"/>
  <c r="W284"/>
  <c r="V284"/>
  <c r="K284"/>
  <c r="G284"/>
  <c r="X283"/>
  <c r="W283"/>
  <c r="V283"/>
  <c r="K283"/>
  <c r="G283"/>
  <c r="X282"/>
  <c r="W282"/>
  <c r="V282"/>
  <c r="K282"/>
  <c r="G282"/>
  <c r="X281"/>
  <c r="W281"/>
  <c r="V281"/>
  <c r="K281"/>
  <c r="G281"/>
  <c r="X280"/>
  <c r="W280"/>
  <c r="V280"/>
  <c r="U280" s="1"/>
  <c r="K280"/>
  <c r="G280"/>
  <c r="X279"/>
  <c r="W279"/>
  <c r="V279"/>
  <c r="U279" s="1"/>
  <c r="K279"/>
  <c r="G279"/>
  <c r="AG278"/>
  <c r="X278"/>
  <c r="W278"/>
  <c r="V278"/>
  <c r="Q278"/>
  <c r="P278"/>
  <c r="O278"/>
  <c r="G278"/>
  <c r="AG277"/>
  <c r="X277"/>
  <c r="W277"/>
  <c r="V277"/>
  <c r="Q277"/>
  <c r="O277"/>
  <c r="N277" s="1"/>
  <c r="M277"/>
  <c r="K277" s="1"/>
  <c r="G277"/>
  <c r="AG276"/>
  <c r="X276"/>
  <c r="W276"/>
  <c r="V276"/>
  <c r="Q276"/>
  <c r="G276"/>
  <c r="AG275"/>
  <c r="X275"/>
  <c r="W275"/>
  <c r="V275"/>
  <c r="Q275"/>
  <c r="M275"/>
  <c r="L275"/>
  <c r="K275" s="1"/>
  <c r="G275"/>
  <c r="AG274"/>
  <c r="X274"/>
  <c r="W274"/>
  <c r="V274"/>
  <c r="Q274"/>
  <c r="O274"/>
  <c r="N274" s="1"/>
  <c r="M274"/>
  <c r="K274" s="1"/>
  <c r="G274"/>
  <c r="AG273"/>
  <c r="X273"/>
  <c r="W273"/>
  <c r="V273"/>
  <c r="Q273"/>
  <c r="G273"/>
  <c r="K273" s="1"/>
  <c r="AG272"/>
  <c r="X272"/>
  <c r="W272"/>
  <c r="V272"/>
  <c r="U272" s="1"/>
  <c r="Q272"/>
  <c r="G272"/>
  <c r="AG271"/>
  <c r="X271"/>
  <c r="W271"/>
  <c r="V271"/>
  <c r="Q271"/>
  <c r="P271"/>
  <c r="O271"/>
  <c r="G271"/>
  <c r="AG270"/>
  <c r="X270"/>
  <c r="W270"/>
  <c r="V270"/>
  <c r="U270" s="1"/>
  <c r="Q270"/>
  <c r="M270"/>
  <c r="L270"/>
  <c r="G270"/>
  <c r="AD269"/>
  <c r="X269"/>
  <c r="W269"/>
  <c r="V269"/>
  <c r="Q269"/>
  <c r="P269"/>
  <c r="O269"/>
  <c r="G269"/>
  <c r="AD268"/>
  <c r="X268"/>
  <c r="W268"/>
  <c r="V268"/>
  <c r="Q268"/>
  <c r="P268"/>
  <c r="N268" s="1"/>
  <c r="O268"/>
  <c r="G268"/>
  <c r="AD267"/>
  <c r="X267"/>
  <c r="W267"/>
  <c r="V267"/>
  <c r="U267" s="1"/>
  <c r="Q267"/>
  <c r="P267"/>
  <c r="O267"/>
  <c r="G267"/>
  <c r="AD266"/>
  <c r="X266"/>
  <c r="W266"/>
  <c r="V266"/>
  <c r="Q266"/>
  <c r="P266"/>
  <c r="O266"/>
  <c r="G266"/>
  <c r="AA265"/>
  <c r="X265"/>
  <c r="W265"/>
  <c r="V265"/>
  <c r="U265" s="1"/>
  <c r="Q265"/>
  <c r="P265"/>
  <c r="O265"/>
  <c r="G265"/>
  <c r="AA264"/>
  <c r="X264"/>
  <c r="W264"/>
  <c r="V264"/>
  <c r="Q264"/>
  <c r="M264"/>
  <c r="L264"/>
  <c r="G264"/>
  <c r="AA263"/>
  <c r="X263"/>
  <c r="W263"/>
  <c r="V263"/>
  <c r="Q263"/>
  <c r="M263"/>
  <c r="L263"/>
  <c r="G263"/>
  <c r="AA262"/>
  <c r="X262"/>
  <c r="W262"/>
  <c r="V262"/>
  <c r="U262" s="1"/>
  <c r="Q262"/>
  <c r="P262"/>
  <c r="O262"/>
  <c r="G262"/>
  <c r="AD261"/>
  <c r="X261"/>
  <c r="W261"/>
  <c r="V261"/>
  <c r="U261" s="1"/>
  <c r="Q261"/>
  <c r="P261"/>
  <c r="O261"/>
  <c r="G261"/>
  <c r="AA260"/>
  <c r="X260"/>
  <c r="W260"/>
  <c r="V260"/>
  <c r="Q260"/>
  <c r="P260"/>
  <c r="O260"/>
  <c r="G260"/>
  <c r="AA259"/>
  <c r="X259"/>
  <c r="W259"/>
  <c r="V259"/>
  <c r="U259" s="1"/>
  <c r="Q259"/>
  <c r="P259"/>
  <c r="P252" s="1"/>
  <c r="O259"/>
  <c r="G259"/>
  <c r="X258"/>
  <c r="W258"/>
  <c r="U258" s="1"/>
  <c r="V258"/>
  <c r="Q258"/>
  <c r="G258"/>
  <c r="X257"/>
  <c r="W257"/>
  <c r="V257"/>
  <c r="U257" s="1"/>
  <c r="Q257"/>
  <c r="K257"/>
  <c r="G257"/>
  <c r="X256"/>
  <c r="W256"/>
  <c r="V256"/>
  <c r="U256" s="1"/>
  <c r="Q256"/>
  <c r="G256"/>
  <c r="X255"/>
  <c r="W255"/>
  <c r="V255"/>
  <c r="Q255"/>
  <c r="G255"/>
  <c r="X254"/>
  <c r="W254"/>
  <c r="V254"/>
  <c r="Q254"/>
  <c r="G254"/>
  <c r="A254"/>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X253"/>
  <c r="W253"/>
  <c r="V253"/>
  <c r="U253" s="1"/>
  <c r="Q253"/>
  <c r="G253"/>
  <c r="AK252"/>
  <c r="AI252"/>
  <c r="AH252"/>
  <c r="AF252"/>
  <c r="AE252"/>
  <c r="AC252"/>
  <c r="AB252"/>
  <c r="Z252"/>
  <c r="Y252"/>
  <c r="S252"/>
  <c r="R252"/>
  <c r="J252"/>
  <c r="I252"/>
  <c r="H252"/>
  <c r="X251"/>
  <c r="W251"/>
  <c r="V251"/>
  <c r="U251" s="1"/>
  <c r="K251"/>
  <c r="G251"/>
  <c r="AG250"/>
  <c r="X250"/>
  <c r="W250"/>
  <c r="V250"/>
  <c r="Q250"/>
  <c r="M250"/>
  <c r="M238" s="1"/>
  <c r="L250"/>
  <c r="G250"/>
  <c r="AG249"/>
  <c r="X249"/>
  <c r="W249"/>
  <c r="V249"/>
  <c r="Q249"/>
  <c r="G249"/>
  <c r="K249" s="1"/>
  <c r="AG248"/>
  <c r="X248"/>
  <c r="W248"/>
  <c r="V248"/>
  <c r="U248" s="1"/>
  <c r="Q248"/>
  <c r="P248"/>
  <c r="O248"/>
  <c r="G248"/>
  <c r="AG247"/>
  <c r="X247"/>
  <c r="W247"/>
  <c r="V247"/>
  <c r="U247" s="1"/>
  <c r="Q247"/>
  <c r="G247"/>
  <c r="AG246"/>
  <c r="X246"/>
  <c r="W246"/>
  <c r="V246"/>
  <c r="Q246"/>
  <c r="K246"/>
  <c r="G246"/>
  <c r="AD245"/>
  <c r="X245"/>
  <c r="W245"/>
  <c r="U245" s="1"/>
  <c r="V245"/>
  <c r="P245"/>
  <c r="O245"/>
  <c r="G245"/>
  <c r="AD244"/>
  <c r="X244"/>
  <c r="W244"/>
  <c r="V244"/>
  <c r="P244"/>
  <c r="N244" s="1"/>
  <c r="L244"/>
  <c r="K244" s="1"/>
  <c r="G244"/>
  <c r="AB243"/>
  <c r="V243" s="1"/>
  <c r="X243"/>
  <c r="W243"/>
  <c r="L243"/>
  <c r="K243"/>
  <c r="G243"/>
  <c r="AB242"/>
  <c r="AB238" s="1"/>
  <c r="X242"/>
  <c r="W242"/>
  <c r="L242"/>
  <c r="K242" s="1"/>
  <c r="G242"/>
  <c r="AA241"/>
  <c r="X241"/>
  <c r="W241"/>
  <c r="V241"/>
  <c r="P241"/>
  <c r="O241"/>
  <c r="N241" s="1"/>
  <c r="G241"/>
  <c r="AA240"/>
  <c r="X240"/>
  <c r="W240"/>
  <c r="V240"/>
  <c r="P240"/>
  <c r="O240"/>
  <c r="G240"/>
  <c r="A240"/>
  <c r="A241" s="1"/>
  <c r="A242" s="1"/>
  <c r="A243" s="1"/>
  <c r="A244" s="1"/>
  <c r="A245" s="1"/>
  <c r="A246" s="1"/>
  <c r="A247" s="1"/>
  <c r="A248" s="1"/>
  <c r="A249" s="1"/>
  <c r="A250" s="1"/>
  <c r="A251" s="1"/>
  <c r="X239"/>
  <c r="X238" s="1"/>
  <c r="W239"/>
  <c r="V239"/>
  <c r="U239" s="1"/>
  <c r="G239"/>
  <c r="K239" s="1"/>
  <c r="AK238"/>
  <c r="AI238"/>
  <c r="AH238"/>
  <c r="AF238"/>
  <c r="AE238"/>
  <c r="AC238"/>
  <c r="Z238"/>
  <c r="Y238"/>
  <c r="S238"/>
  <c r="R238"/>
  <c r="J238"/>
  <c r="I238"/>
  <c r="H238"/>
  <c r="AG237"/>
  <c r="Q237"/>
  <c r="N237"/>
  <c r="AG236"/>
  <c r="X236"/>
  <c r="W236"/>
  <c r="V236"/>
  <c r="Q236"/>
  <c r="P236"/>
  <c r="O236"/>
  <c r="G236"/>
  <c r="AG235"/>
  <c r="X235"/>
  <c r="W235"/>
  <c r="V235"/>
  <c r="U235" s="1"/>
  <c r="Q235"/>
  <c r="O235"/>
  <c r="N235" s="1"/>
  <c r="M235"/>
  <c r="K235" s="1"/>
  <c r="G235"/>
  <c r="AG234"/>
  <c r="X234"/>
  <c r="W234"/>
  <c r="V234"/>
  <c r="U234" s="1"/>
  <c r="Q234"/>
  <c r="O234"/>
  <c r="N234" s="1"/>
  <c r="M234"/>
  <c r="K234"/>
  <c r="G234"/>
  <c r="AG233"/>
  <c r="X233"/>
  <c r="W233"/>
  <c r="U233" s="1"/>
  <c r="V233"/>
  <c r="Q233"/>
  <c r="O233"/>
  <c r="N233" s="1"/>
  <c r="M233"/>
  <c r="K233" s="1"/>
  <c r="G233"/>
  <c r="AG232"/>
  <c r="X232"/>
  <c r="W232"/>
  <c r="V232"/>
  <c r="Q232"/>
  <c r="M232"/>
  <c r="L232"/>
  <c r="G232"/>
  <c r="AD231"/>
  <c r="X231"/>
  <c r="W231"/>
  <c r="V231"/>
  <c r="U231" s="1"/>
  <c r="Q231"/>
  <c r="P231"/>
  <c r="N231" s="1"/>
  <c r="L231"/>
  <c r="K231" s="1"/>
  <c r="G231"/>
  <c r="AA230"/>
  <c r="X230"/>
  <c r="W230"/>
  <c r="V230"/>
  <c r="U230" s="1"/>
  <c r="Q230"/>
  <c r="P230"/>
  <c r="O230"/>
  <c r="G230"/>
  <c r="AD229"/>
  <c r="X229"/>
  <c r="W229"/>
  <c r="V229"/>
  <c r="Q229"/>
  <c r="P229"/>
  <c r="N229" s="1"/>
  <c r="L229"/>
  <c r="K229" s="1"/>
  <c r="G229"/>
  <c r="AA228"/>
  <c r="X228"/>
  <c r="W228"/>
  <c r="V228"/>
  <c r="Q228"/>
  <c r="M228"/>
  <c r="L228"/>
  <c r="G228"/>
  <c r="AA227"/>
  <c r="X227"/>
  <c r="W227"/>
  <c r="V227"/>
  <c r="U227" s="1"/>
  <c r="Q227"/>
  <c r="P227"/>
  <c r="N227" s="1"/>
  <c r="L227"/>
  <c r="K227" s="1"/>
  <c r="G227"/>
  <c r="AD226"/>
  <c r="X226"/>
  <c r="W226"/>
  <c r="V226"/>
  <c r="Q226"/>
  <c r="P226"/>
  <c r="N226" s="1"/>
  <c r="L226"/>
  <c r="K226" s="1"/>
  <c r="G226"/>
  <c r="X225"/>
  <c r="W225"/>
  <c r="V225"/>
  <c r="Q225"/>
  <c r="G225"/>
  <c r="A225"/>
  <c r="A226" s="1"/>
  <c r="A227" s="1"/>
  <c r="A228" s="1"/>
  <c r="A229" s="1"/>
  <c r="A230" s="1"/>
  <c r="A232" s="1"/>
  <c r="A233" s="1"/>
  <c r="A231" s="1"/>
  <c r="A234" s="1"/>
  <c r="A235" s="1"/>
  <c r="A236" s="1"/>
  <c r="A237" s="1"/>
  <c r="X224"/>
  <c r="W224"/>
  <c r="W223" s="1"/>
  <c r="V224"/>
  <c r="Q224"/>
  <c r="G224"/>
  <c r="K224" s="1"/>
  <c r="AK223"/>
  <c r="AI223"/>
  <c r="AH223"/>
  <c r="AF223"/>
  <c r="AE223"/>
  <c r="AC223"/>
  <c r="AB223"/>
  <c r="Z223"/>
  <c r="Y223"/>
  <c r="T223"/>
  <c r="S223"/>
  <c r="R223"/>
  <c r="J223"/>
  <c r="I223"/>
  <c r="H223"/>
  <c r="AG222"/>
  <c r="AG218" s="1"/>
  <c r="X222"/>
  <c r="W222"/>
  <c r="V222"/>
  <c r="Q222"/>
  <c r="O222"/>
  <c r="M222"/>
  <c r="K222" s="1"/>
  <c r="G222"/>
  <c r="AD221"/>
  <c r="AD218" s="1"/>
  <c r="X221"/>
  <c r="W221"/>
  <c r="V221"/>
  <c r="Q221"/>
  <c r="P221"/>
  <c r="N221" s="1"/>
  <c r="L221"/>
  <c r="K221" s="1"/>
  <c r="G221"/>
  <c r="AA220"/>
  <c r="AA218" s="1"/>
  <c r="X220"/>
  <c r="W220"/>
  <c r="V220"/>
  <c r="Q220"/>
  <c r="P220"/>
  <c r="O220"/>
  <c r="G220"/>
  <c r="A220"/>
  <c r="A221" s="1"/>
  <c r="A222" s="1"/>
  <c r="X219"/>
  <c r="W219"/>
  <c r="V219"/>
  <c r="Q219"/>
  <c r="G219"/>
  <c r="G218" s="1"/>
  <c r="AK218"/>
  <c r="AI218"/>
  <c r="AH218"/>
  <c r="AF218"/>
  <c r="AE218"/>
  <c r="AC218"/>
  <c r="AB218"/>
  <c r="Z218"/>
  <c r="Y218"/>
  <c r="W218"/>
  <c r="T218"/>
  <c r="S218"/>
  <c r="R218"/>
  <c r="J218"/>
  <c r="I218"/>
  <c r="H218"/>
  <c r="AG217"/>
  <c r="X217"/>
  <c r="W217"/>
  <c r="V217"/>
  <c r="U217" s="1"/>
  <c r="Q217"/>
  <c r="M217"/>
  <c r="L217"/>
  <c r="G217"/>
  <c r="AG216"/>
  <c r="X216"/>
  <c r="W216"/>
  <c r="V216"/>
  <c r="Q216"/>
  <c r="M216"/>
  <c r="L216"/>
  <c r="G216"/>
  <c r="K216" s="1"/>
  <c r="AG215"/>
  <c r="X215"/>
  <c r="W215"/>
  <c r="V215"/>
  <c r="Q215"/>
  <c r="M215"/>
  <c r="L215"/>
  <c r="G215"/>
  <c r="AG214"/>
  <c r="X214"/>
  <c r="W214"/>
  <c r="V214"/>
  <c r="U214" s="1"/>
  <c r="Q214"/>
  <c r="M214"/>
  <c r="L214"/>
  <c r="G214"/>
  <c r="K214" s="1"/>
  <c r="AG213"/>
  <c r="X213"/>
  <c r="W213"/>
  <c r="V213"/>
  <c r="Q213"/>
  <c r="M213"/>
  <c r="L213"/>
  <c r="G213"/>
  <c r="AG212"/>
  <c r="X212"/>
  <c r="W212"/>
  <c r="V212"/>
  <c r="Q212"/>
  <c r="O212"/>
  <c r="N212" s="1"/>
  <c r="M212"/>
  <c r="K212" s="1"/>
  <c r="G212"/>
  <c r="AD211"/>
  <c r="X211"/>
  <c r="W211"/>
  <c r="V211"/>
  <c r="Q211"/>
  <c r="P211"/>
  <c r="N211" s="1"/>
  <c r="L211"/>
  <c r="K211" s="1"/>
  <c r="G211"/>
  <c r="AL210"/>
  <c r="AK210"/>
  <c r="AK198" s="1"/>
  <c r="AG210"/>
  <c r="AD210"/>
  <c r="AJ210" s="1"/>
  <c r="X210"/>
  <c r="W210"/>
  <c r="V210"/>
  <c r="Q210"/>
  <c r="M210"/>
  <c r="L210"/>
  <c r="G210"/>
  <c r="AD209"/>
  <c r="X209"/>
  <c r="W209"/>
  <c r="U209" s="1"/>
  <c r="V209"/>
  <c r="Q209"/>
  <c r="K209" s="1"/>
  <c r="P209"/>
  <c r="N209" s="1"/>
  <c r="L209"/>
  <c r="G209"/>
  <c r="AD208"/>
  <c r="X208"/>
  <c r="W208"/>
  <c r="V208"/>
  <c r="Q208"/>
  <c r="P208"/>
  <c r="N208" s="1"/>
  <c r="L208"/>
  <c r="G208"/>
  <c r="AD207"/>
  <c r="AC207"/>
  <c r="W207" s="1"/>
  <c r="AB207"/>
  <c r="AA207" s="1"/>
  <c r="X207"/>
  <c r="V207"/>
  <c r="U207" s="1"/>
  <c r="Q207"/>
  <c r="P207"/>
  <c r="N207" s="1"/>
  <c r="L207"/>
  <c r="K207" s="1"/>
  <c r="G207"/>
  <c r="AA206"/>
  <c r="X206"/>
  <c r="W206"/>
  <c r="V206"/>
  <c r="Q206"/>
  <c r="M206"/>
  <c r="L206"/>
  <c r="G206"/>
  <c r="AA205"/>
  <c r="X205"/>
  <c r="W205"/>
  <c r="V205"/>
  <c r="U205" s="1"/>
  <c r="Q205"/>
  <c r="M205"/>
  <c r="L205"/>
  <c r="G205"/>
  <c r="AD204"/>
  <c r="AC204"/>
  <c r="AA204" s="1"/>
  <c r="X204"/>
  <c r="V204"/>
  <c r="Q204"/>
  <c r="P204"/>
  <c r="N204" s="1"/>
  <c r="L204"/>
  <c r="K204" s="1"/>
  <c r="G204"/>
  <c r="AA203"/>
  <c r="X203"/>
  <c r="W203"/>
  <c r="V203"/>
  <c r="U203" s="1"/>
  <c r="Q203"/>
  <c r="M203"/>
  <c r="L203"/>
  <c r="G203"/>
  <c r="AB202"/>
  <c r="V202" s="1"/>
  <c r="X202"/>
  <c r="W202"/>
  <c r="Q202"/>
  <c r="M202"/>
  <c r="L202"/>
  <c r="G202"/>
  <c r="AC201"/>
  <c r="AA201" s="1"/>
  <c r="X201"/>
  <c r="V201"/>
  <c r="Q201"/>
  <c r="M201"/>
  <c r="L201"/>
  <c r="G201"/>
  <c r="X200"/>
  <c r="W200"/>
  <c r="V200"/>
  <c r="Q200"/>
  <c r="M200"/>
  <c r="L200"/>
  <c r="G200"/>
  <c r="X199"/>
  <c r="W199"/>
  <c r="V199"/>
  <c r="U199" s="1"/>
  <c r="Q199"/>
  <c r="M199"/>
  <c r="L199"/>
  <c r="G199"/>
  <c r="AI198"/>
  <c r="AH198"/>
  <c r="AF198"/>
  <c r="AE198"/>
  <c r="Z198"/>
  <c r="Y198"/>
  <c r="T198"/>
  <c r="S198"/>
  <c r="R198"/>
  <c r="J198"/>
  <c r="I198"/>
  <c r="H198"/>
  <c r="AG197"/>
  <c r="AG196"/>
  <c r="AG195"/>
  <c r="X195"/>
  <c r="W195"/>
  <c r="V195"/>
  <c r="U195" s="1"/>
  <c r="G195"/>
  <c r="K195" s="1"/>
  <c r="AG194"/>
  <c r="X194"/>
  <c r="W194"/>
  <c r="V194"/>
  <c r="K194"/>
  <c r="G194"/>
  <c r="AG193"/>
  <c r="X193"/>
  <c r="W193"/>
  <c r="U193" s="1"/>
  <c r="V193"/>
  <c r="G193"/>
  <c r="K193" s="1"/>
  <c r="AG192"/>
  <c r="X192"/>
  <c r="W192"/>
  <c r="V192"/>
  <c r="G192"/>
  <c r="K192" s="1"/>
  <c r="AG191"/>
  <c r="X191"/>
  <c r="W191"/>
  <c r="V191"/>
  <c r="G191"/>
  <c r="K191" s="1"/>
  <c r="AD190"/>
  <c r="X190"/>
  <c r="W190"/>
  <c r="V190"/>
  <c r="U190" s="1"/>
  <c r="M190"/>
  <c r="L190"/>
  <c r="G190"/>
  <c r="AD189"/>
  <c r="X189"/>
  <c r="W189"/>
  <c r="V189"/>
  <c r="P189"/>
  <c r="N189" s="1"/>
  <c r="L189"/>
  <c r="K189" s="1"/>
  <c r="G189"/>
  <c r="AD188"/>
  <c r="X188"/>
  <c r="W188"/>
  <c r="V188"/>
  <c r="U188" s="1"/>
  <c r="P188"/>
  <c r="N188" s="1"/>
  <c r="L188"/>
  <c r="K188" s="1"/>
  <c r="G188"/>
  <c r="AA187"/>
  <c r="X187"/>
  <c r="W187"/>
  <c r="V187"/>
  <c r="M187"/>
  <c r="L187"/>
  <c r="G187"/>
  <c r="AA186"/>
  <c r="X186"/>
  <c r="W186"/>
  <c r="V186"/>
  <c r="M186"/>
  <c r="L186"/>
  <c r="G186"/>
  <c r="X185"/>
  <c r="W185"/>
  <c r="V185"/>
  <c r="G185"/>
  <c r="K185" s="1"/>
  <c r="X184"/>
  <c r="W184"/>
  <c r="V184"/>
  <c r="G184"/>
  <c r="K184" s="1"/>
  <c r="X183"/>
  <c r="W183"/>
  <c r="V183"/>
  <c r="V181" s="1"/>
  <c r="G183"/>
  <c r="K183" s="1"/>
  <c r="A183"/>
  <c r="A184" s="1"/>
  <c r="A185" s="1"/>
  <c r="A186" s="1"/>
  <c r="A187" s="1"/>
  <c r="A188" s="1"/>
  <c r="A189" s="1"/>
  <c r="A190" s="1"/>
  <c r="A191" s="1"/>
  <c r="A192" s="1"/>
  <c r="A193" s="1"/>
  <c r="A194" s="1"/>
  <c r="A195" s="1"/>
  <c r="A196" s="1"/>
  <c r="A197" s="1"/>
  <c r="X182"/>
  <c r="W182"/>
  <c r="V182"/>
  <c r="U182" s="1"/>
  <c r="K182"/>
  <c r="G182"/>
  <c r="AK181"/>
  <c r="AI181"/>
  <c r="AH181"/>
  <c r="AF181"/>
  <c r="AE181"/>
  <c r="AC181"/>
  <c r="AB181"/>
  <c r="Z181"/>
  <c r="Y181"/>
  <c r="T181"/>
  <c r="S181"/>
  <c r="R181"/>
  <c r="Q181"/>
  <c r="O181"/>
  <c r="J181"/>
  <c r="I181"/>
  <c r="H181"/>
  <c r="AH180"/>
  <c r="AH163" s="1"/>
  <c r="R180"/>
  <c r="Q180" s="1"/>
  <c r="O180"/>
  <c r="N180" s="1"/>
  <c r="AG179"/>
  <c r="Q179"/>
  <c r="N179"/>
  <c r="AG178"/>
  <c r="Q178"/>
  <c r="G178"/>
  <c r="AG177"/>
  <c r="X177"/>
  <c r="W177"/>
  <c r="V177"/>
  <c r="Q177"/>
  <c r="G177"/>
  <c r="AG176"/>
  <c r="X176"/>
  <c r="W176"/>
  <c r="V176"/>
  <c r="Q176"/>
  <c r="M176"/>
  <c r="L176"/>
  <c r="G176"/>
  <c r="AG175"/>
  <c r="X175"/>
  <c r="W175"/>
  <c r="V175"/>
  <c r="Q175"/>
  <c r="P175"/>
  <c r="O175"/>
  <c r="G175"/>
  <c r="AG174"/>
  <c r="X174"/>
  <c r="W174"/>
  <c r="V174"/>
  <c r="Q174"/>
  <c r="G174"/>
  <c r="K174" s="1"/>
  <c r="AD173"/>
  <c r="X173"/>
  <c r="W173"/>
  <c r="V173"/>
  <c r="M173"/>
  <c r="L173"/>
  <c r="G173"/>
  <c r="AD172"/>
  <c r="X172"/>
  <c r="W172"/>
  <c r="V172"/>
  <c r="P172"/>
  <c r="O172"/>
  <c r="G172"/>
  <c r="AD171"/>
  <c r="X171"/>
  <c r="W171"/>
  <c r="V171"/>
  <c r="M171"/>
  <c r="L171"/>
  <c r="K171" s="1"/>
  <c r="G171"/>
  <c r="AD170"/>
  <c r="X170"/>
  <c r="W170"/>
  <c r="V170"/>
  <c r="M170"/>
  <c r="L170"/>
  <c r="G170"/>
  <c r="AA169"/>
  <c r="X169"/>
  <c r="W169"/>
  <c r="V169"/>
  <c r="M169"/>
  <c r="L169"/>
  <c r="K169" s="1"/>
  <c r="G169"/>
  <c r="AA168"/>
  <c r="X168"/>
  <c r="W168"/>
  <c r="V168"/>
  <c r="M168"/>
  <c r="L168"/>
  <c r="G168"/>
  <c r="AA167"/>
  <c r="X167"/>
  <c r="W167"/>
  <c r="V167"/>
  <c r="U167" s="1"/>
  <c r="P167"/>
  <c r="O167"/>
  <c r="N167" s="1"/>
  <c r="G167"/>
  <c r="AA166"/>
  <c r="X166"/>
  <c r="W166"/>
  <c r="V166"/>
  <c r="M166"/>
  <c r="L166"/>
  <c r="G166"/>
  <c r="X165"/>
  <c r="W165"/>
  <c r="V165"/>
  <c r="K165"/>
  <c r="G165"/>
  <c r="A165"/>
  <c r="A166" s="1"/>
  <c r="A167" s="1"/>
  <c r="A168" s="1"/>
  <c r="A169" s="1"/>
  <c r="A170" s="1"/>
  <c r="A171" s="1"/>
  <c r="A172" s="1"/>
  <c r="A173" s="1"/>
  <c r="A174" s="1"/>
  <c r="A175" s="1"/>
  <c r="A176" s="1"/>
  <c r="A177" s="1"/>
  <c r="A178" s="1"/>
  <c r="A179" s="1"/>
  <c r="A180" s="1"/>
  <c r="X164"/>
  <c r="W164"/>
  <c r="V164"/>
  <c r="G164"/>
  <c r="K164" s="1"/>
  <c r="AK163"/>
  <c r="AI163"/>
  <c r="AF163"/>
  <c r="AE163"/>
  <c r="AC163"/>
  <c r="AB163"/>
  <c r="Z163"/>
  <c r="Y163"/>
  <c r="T163"/>
  <c r="S163"/>
  <c r="R163"/>
  <c r="J163"/>
  <c r="I163"/>
  <c r="H163"/>
  <c r="AI162"/>
  <c r="AI152" s="1"/>
  <c r="AH162"/>
  <c r="S162"/>
  <c r="S152" s="1"/>
  <c r="R162"/>
  <c r="R152" s="1"/>
  <c r="P162"/>
  <c r="O162"/>
  <c r="AG161"/>
  <c r="X161"/>
  <c r="W161"/>
  <c r="V161"/>
  <c r="Q161"/>
  <c r="G161"/>
  <c r="AG160"/>
  <c r="X160"/>
  <c r="W160"/>
  <c r="V160"/>
  <c r="U160" s="1"/>
  <c r="Q160"/>
  <c r="G160"/>
  <c r="AD159"/>
  <c r="X159"/>
  <c r="W159"/>
  <c r="V159"/>
  <c r="M159"/>
  <c r="L159"/>
  <c r="K159" s="1"/>
  <c r="G159"/>
  <c r="AD158"/>
  <c r="X158"/>
  <c r="W158"/>
  <c r="V158"/>
  <c r="M158"/>
  <c r="L158"/>
  <c r="G158"/>
  <c r="AD157"/>
  <c r="X157"/>
  <c r="W157"/>
  <c r="V157"/>
  <c r="U157" s="1"/>
  <c r="P157"/>
  <c r="N157" s="1"/>
  <c r="L157"/>
  <c r="K157" s="1"/>
  <c r="G157"/>
  <c r="A157"/>
  <c r="A158" s="1"/>
  <c r="A159" s="1"/>
  <c r="A160" s="1"/>
  <c r="A161" s="1"/>
  <c r="A162" s="1"/>
  <c r="AA156"/>
  <c r="X156"/>
  <c r="W156"/>
  <c r="V156"/>
  <c r="U156" s="1"/>
  <c r="M156"/>
  <c r="L156"/>
  <c r="G156"/>
  <c r="AA155"/>
  <c r="X155"/>
  <c r="W155"/>
  <c r="V155"/>
  <c r="M155"/>
  <c r="L155"/>
  <c r="G155"/>
  <c r="AA154"/>
  <c r="X154"/>
  <c r="W154"/>
  <c r="V154"/>
  <c r="M154"/>
  <c r="L154"/>
  <c r="G154"/>
  <c r="A154"/>
  <c r="A155" s="1"/>
  <c r="A156" s="1"/>
  <c r="AB153"/>
  <c r="AA153" s="1"/>
  <c r="X153"/>
  <c r="W153"/>
  <c r="V153"/>
  <c r="M153"/>
  <c r="L153"/>
  <c r="K153" s="1"/>
  <c r="G153"/>
  <c r="AK152"/>
  <c r="AF152"/>
  <c r="AE152"/>
  <c r="AC152"/>
  <c r="AB152"/>
  <c r="Z152"/>
  <c r="Y152"/>
  <c r="T152"/>
  <c r="O152"/>
  <c r="J152"/>
  <c r="I152"/>
  <c r="H152"/>
  <c r="AG151"/>
  <c r="Q151"/>
  <c r="N151"/>
  <c r="AG150"/>
  <c r="X150"/>
  <c r="W150"/>
  <c r="V150"/>
  <c r="Q150"/>
  <c r="G150"/>
  <c r="AG149"/>
  <c r="X149"/>
  <c r="W149"/>
  <c r="V149"/>
  <c r="Q149"/>
  <c r="G149"/>
  <c r="AG148"/>
  <c r="X148"/>
  <c r="W148"/>
  <c r="V148"/>
  <c r="Q148"/>
  <c r="G148"/>
  <c r="K148" s="1"/>
  <c r="AD147"/>
  <c r="X147"/>
  <c r="W147"/>
  <c r="V147"/>
  <c r="U147" s="1"/>
  <c r="Q147"/>
  <c r="O147"/>
  <c r="N147" s="1"/>
  <c r="G147"/>
  <c r="AD146"/>
  <c r="X146"/>
  <c r="W146"/>
  <c r="V146"/>
  <c r="U146" s="1"/>
  <c r="Q146"/>
  <c r="M146"/>
  <c r="L146"/>
  <c r="G146"/>
  <c r="AD145"/>
  <c r="X145"/>
  <c r="W145"/>
  <c r="V145"/>
  <c r="Q145"/>
  <c r="P145"/>
  <c r="O145"/>
  <c r="G145"/>
  <c r="AA144"/>
  <c r="X144"/>
  <c r="W144"/>
  <c r="V144"/>
  <c r="Q144"/>
  <c r="M144"/>
  <c r="M136" s="1"/>
  <c r="L144"/>
  <c r="G144"/>
  <c r="AA143"/>
  <c r="X143"/>
  <c r="W143"/>
  <c r="V143"/>
  <c r="Q143"/>
  <c r="G143"/>
  <c r="AD142"/>
  <c r="X142"/>
  <c r="W142"/>
  <c r="V142"/>
  <c r="U142" s="1"/>
  <c r="Q142"/>
  <c r="G142"/>
  <c r="AA141"/>
  <c r="X141"/>
  <c r="W141"/>
  <c r="V141"/>
  <c r="Q141"/>
  <c r="P141"/>
  <c r="N141" s="1"/>
  <c r="L141"/>
  <c r="K141" s="1"/>
  <c r="G141"/>
  <c r="AA140"/>
  <c r="AA136" s="1"/>
  <c r="X140"/>
  <c r="W140"/>
  <c r="V140"/>
  <c r="Q140"/>
  <c r="P140"/>
  <c r="N140"/>
  <c r="L140"/>
  <c r="K140" s="1"/>
  <c r="G140"/>
  <c r="X139"/>
  <c r="W139"/>
  <c r="V139"/>
  <c r="Q139"/>
  <c r="G139"/>
  <c r="X138"/>
  <c r="W138"/>
  <c r="V138"/>
  <c r="Q138"/>
  <c r="G138"/>
  <c r="A138"/>
  <c r="A139" s="1"/>
  <c r="A140" s="1"/>
  <c r="A141" s="1"/>
  <c r="A142" s="1"/>
  <c r="A143" s="1"/>
  <c r="A144" s="1"/>
  <c r="A145" s="1"/>
  <c r="A146" s="1"/>
  <c r="A147" s="1"/>
  <c r="A148" s="1"/>
  <c r="A149" s="1"/>
  <c r="A150" s="1"/>
  <c r="A151" s="1"/>
  <c r="X137"/>
  <c r="W137"/>
  <c r="V137"/>
  <c r="Q137"/>
  <c r="K137" s="1"/>
  <c r="G137"/>
  <c r="AK136"/>
  <c r="AI136"/>
  <c r="AH136"/>
  <c r="AF136"/>
  <c r="AE136"/>
  <c r="AC136"/>
  <c r="AB136"/>
  <c r="Z136"/>
  <c r="Y136"/>
  <c r="T136"/>
  <c r="S136"/>
  <c r="R136"/>
  <c r="J136"/>
  <c r="I136"/>
  <c r="H136"/>
  <c r="AG135"/>
  <c r="Q135"/>
  <c r="N135"/>
  <c r="AI134"/>
  <c r="AG134" s="1"/>
  <c r="S134"/>
  <c r="M134" s="1"/>
  <c r="L134"/>
  <c r="G134"/>
  <c r="AG133"/>
  <c r="X133"/>
  <c r="W133"/>
  <c r="V133"/>
  <c r="U133" s="1"/>
  <c r="Q133"/>
  <c r="G133"/>
  <c r="AG132"/>
  <c r="X132"/>
  <c r="W132"/>
  <c r="V132"/>
  <c r="Q132"/>
  <c r="G132"/>
  <c r="AG131"/>
  <c r="X131"/>
  <c r="W131"/>
  <c r="V131"/>
  <c r="U131" s="1"/>
  <c r="Q131"/>
  <c r="G131"/>
  <c r="AD130"/>
  <c r="X130"/>
  <c r="W130"/>
  <c r="V130"/>
  <c r="M130"/>
  <c r="L130"/>
  <c r="G130"/>
  <c r="AD129"/>
  <c r="X129"/>
  <c r="W129"/>
  <c r="V129"/>
  <c r="U129" s="1"/>
  <c r="P129"/>
  <c r="N129" s="1"/>
  <c r="L129"/>
  <c r="K129" s="1"/>
  <c r="G129"/>
  <c r="AD128"/>
  <c r="X128"/>
  <c r="W128"/>
  <c r="V128"/>
  <c r="M128"/>
  <c r="K128" s="1"/>
  <c r="L128"/>
  <c r="G128"/>
  <c r="AD127"/>
  <c r="X127"/>
  <c r="W127"/>
  <c r="V127"/>
  <c r="P127"/>
  <c r="N127" s="1"/>
  <c r="L127"/>
  <c r="K127" s="1"/>
  <c r="G127"/>
  <c r="AA126"/>
  <c r="X126"/>
  <c r="W126"/>
  <c r="V126"/>
  <c r="K126"/>
  <c r="G126"/>
  <c r="AA125"/>
  <c r="X125"/>
  <c r="W125"/>
  <c r="V125"/>
  <c r="P125"/>
  <c r="O125"/>
  <c r="O120" s="1"/>
  <c r="G125"/>
  <c r="AA124"/>
  <c r="X124"/>
  <c r="W124"/>
  <c r="V124"/>
  <c r="U124" s="1"/>
  <c r="G124"/>
  <c r="K124" s="1"/>
  <c r="AA123"/>
  <c r="X123"/>
  <c r="W123"/>
  <c r="V123"/>
  <c r="G123"/>
  <c r="X122"/>
  <c r="W122"/>
  <c r="V122"/>
  <c r="G122"/>
  <c r="K122" s="1"/>
  <c r="A122"/>
  <c r="A123" s="1"/>
  <c r="A124" s="1"/>
  <c r="A125" s="1"/>
  <c r="A126" s="1"/>
  <c r="A127" s="1"/>
  <c r="A128" s="1"/>
  <c r="A129" s="1"/>
  <c r="A130" s="1"/>
  <c r="A131" s="1"/>
  <c r="A132" s="1"/>
  <c r="A133" s="1"/>
  <c r="A134" s="1"/>
  <c r="A135" s="1"/>
  <c r="X121"/>
  <c r="W121"/>
  <c r="V121"/>
  <c r="M121"/>
  <c r="L121"/>
  <c r="L120" s="1"/>
  <c r="G121"/>
  <c r="AK120"/>
  <c r="AI120"/>
  <c r="AH120"/>
  <c r="AF120"/>
  <c r="AE120"/>
  <c r="AC120"/>
  <c r="AB120"/>
  <c r="Z120"/>
  <c r="Y120"/>
  <c r="T120"/>
  <c r="R120"/>
  <c r="J120"/>
  <c r="I120"/>
  <c r="H120"/>
  <c r="AG119"/>
  <c r="Q119"/>
  <c r="N119"/>
  <c r="AG118"/>
  <c r="S118"/>
  <c r="Q118"/>
  <c r="P118"/>
  <c r="N118" s="1"/>
  <c r="AG117"/>
  <c r="X117"/>
  <c r="W117"/>
  <c r="V117"/>
  <c r="Q117"/>
  <c r="G117"/>
  <c r="K117" s="1"/>
  <c r="AG116"/>
  <c r="X116"/>
  <c r="W116"/>
  <c r="V116"/>
  <c r="U116" s="1"/>
  <c r="Q116"/>
  <c r="G116"/>
  <c r="K116" s="1"/>
  <c r="AG115"/>
  <c r="X115"/>
  <c r="W115"/>
  <c r="V115"/>
  <c r="Q115"/>
  <c r="M115"/>
  <c r="L115"/>
  <c r="G115"/>
  <c r="K115" s="1"/>
  <c r="AG114"/>
  <c r="X114"/>
  <c r="W114"/>
  <c r="V114"/>
  <c r="U114" s="1"/>
  <c r="Q114"/>
  <c r="K114"/>
  <c r="G114"/>
  <c r="AD113"/>
  <c r="X113"/>
  <c r="W113"/>
  <c r="V113"/>
  <c r="M113"/>
  <c r="L113"/>
  <c r="G113"/>
  <c r="K113" s="1"/>
  <c r="AD112"/>
  <c r="X112"/>
  <c r="W112"/>
  <c r="V112"/>
  <c r="U112" s="1"/>
  <c r="M112"/>
  <c r="L112"/>
  <c r="G112"/>
  <c r="K112" s="1"/>
  <c r="AD111"/>
  <c r="X111"/>
  <c r="W111"/>
  <c r="V111"/>
  <c r="P111"/>
  <c r="O111"/>
  <c r="G111"/>
  <c r="AA110"/>
  <c r="X110"/>
  <c r="W110"/>
  <c r="V110"/>
  <c r="U110" s="1"/>
  <c r="P110"/>
  <c r="O110"/>
  <c r="G110"/>
  <c r="AA109"/>
  <c r="X109"/>
  <c r="W109"/>
  <c r="V109"/>
  <c r="P109"/>
  <c r="O109"/>
  <c r="G109"/>
  <c r="X108"/>
  <c r="W108"/>
  <c r="V108"/>
  <c r="G108"/>
  <c r="K108" s="1"/>
  <c r="AC107"/>
  <c r="AC105" s="1"/>
  <c r="AA107"/>
  <c r="X107"/>
  <c r="W107"/>
  <c r="V107"/>
  <c r="M107"/>
  <c r="G107"/>
  <c r="A107"/>
  <c r="A108" s="1"/>
  <c r="A109" s="1"/>
  <c r="A110" s="1"/>
  <c r="A111" s="1"/>
  <c r="A112" s="1"/>
  <c r="A113" s="1"/>
  <c r="A114" s="1"/>
  <c r="A115" s="1"/>
  <c r="A116" s="1"/>
  <c r="A117" s="1"/>
  <c r="A118" s="1"/>
  <c r="A119" s="1"/>
  <c r="X106"/>
  <c r="W106"/>
  <c r="V106"/>
  <c r="U106"/>
  <c r="G106"/>
  <c r="AK105"/>
  <c r="AI105"/>
  <c r="AH105"/>
  <c r="AF105"/>
  <c r="AE105"/>
  <c r="AB105"/>
  <c r="Z105"/>
  <c r="Y105"/>
  <c r="S105"/>
  <c r="R105"/>
  <c r="O105"/>
  <c r="J105"/>
  <c r="I105"/>
  <c r="H105"/>
  <c r="AH104"/>
  <c r="AG104" s="1"/>
  <c r="R104"/>
  <c r="Q104"/>
  <c r="O104"/>
  <c r="AI103"/>
  <c r="AG103" s="1"/>
  <c r="X103"/>
  <c r="W103"/>
  <c r="V103"/>
  <c r="S103"/>
  <c r="I103"/>
  <c r="G103" s="1"/>
  <c r="AG102"/>
  <c r="Q102"/>
  <c r="G102"/>
  <c r="K102" s="1"/>
  <c r="AG101"/>
  <c r="Q101"/>
  <c r="G101"/>
  <c r="AG100"/>
  <c r="Q100"/>
  <c r="G100"/>
  <c r="AG99"/>
  <c r="Q99"/>
  <c r="G99"/>
  <c r="AG98"/>
  <c r="X98"/>
  <c r="W98"/>
  <c r="V98"/>
  <c r="Q98"/>
  <c r="G98"/>
  <c r="A98"/>
  <c r="A99" s="1"/>
  <c r="A100" s="1"/>
  <c r="A101" s="1"/>
  <c r="A102" s="1"/>
  <c r="A103" s="1"/>
  <c r="A104" s="1"/>
  <c r="AG97"/>
  <c r="X97"/>
  <c r="W97"/>
  <c r="V97"/>
  <c r="U97" s="1"/>
  <c r="Q97"/>
  <c r="G97"/>
  <c r="K97" s="1"/>
  <c r="AD96"/>
  <c r="X96"/>
  <c r="W96"/>
  <c r="V96"/>
  <c r="P96"/>
  <c r="N96" s="1"/>
  <c r="L96"/>
  <c r="K96" s="1"/>
  <c r="G96"/>
  <c r="AD95"/>
  <c r="X95"/>
  <c r="W95"/>
  <c r="V95"/>
  <c r="P95"/>
  <c r="N95" s="1"/>
  <c r="L95"/>
  <c r="K95" s="1"/>
  <c r="G95"/>
  <c r="AD94"/>
  <c r="X94"/>
  <c r="W94"/>
  <c r="V94"/>
  <c r="L94"/>
  <c r="K94" s="1"/>
  <c r="I94"/>
  <c r="AD93"/>
  <c r="X93"/>
  <c r="W93"/>
  <c r="V93"/>
  <c r="P93"/>
  <c r="N93" s="1"/>
  <c r="L93"/>
  <c r="K93" s="1"/>
  <c r="G93"/>
  <c r="AD92"/>
  <c r="X92"/>
  <c r="W92"/>
  <c r="V92"/>
  <c r="L92"/>
  <c r="I92"/>
  <c r="M92" s="1"/>
  <c r="G92"/>
  <c r="AA91"/>
  <c r="W91"/>
  <c r="V91"/>
  <c r="L91"/>
  <c r="I91"/>
  <c r="M91" s="1"/>
  <c r="AA90"/>
  <c r="X90"/>
  <c r="W90"/>
  <c r="V90"/>
  <c r="M90"/>
  <c r="L90"/>
  <c r="I90"/>
  <c r="G90" s="1"/>
  <c r="AB89"/>
  <c r="AA89"/>
  <c r="X89"/>
  <c r="W89"/>
  <c r="P89"/>
  <c r="N89"/>
  <c r="L89"/>
  <c r="K89"/>
  <c r="G89"/>
  <c r="AA88"/>
  <c r="X88"/>
  <c r="W88"/>
  <c r="V88"/>
  <c r="L88"/>
  <c r="I88"/>
  <c r="X87"/>
  <c r="W87"/>
  <c r="V87"/>
  <c r="U87" s="1"/>
  <c r="G87"/>
  <c r="K87" s="1"/>
  <c r="X86"/>
  <c r="W86"/>
  <c r="U86" s="1"/>
  <c r="V86"/>
  <c r="G86"/>
  <c r="K86" s="1"/>
  <c r="X85"/>
  <c r="W85"/>
  <c r="V85"/>
  <c r="G85"/>
  <c r="K85" s="1"/>
  <c r="AK84"/>
  <c r="AH84"/>
  <c r="AF84"/>
  <c r="AE84"/>
  <c r="AC84"/>
  <c r="Z84"/>
  <c r="Y84"/>
  <c r="R84"/>
  <c r="J84"/>
  <c r="H84"/>
  <c r="AG83"/>
  <c r="Q83"/>
  <c r="N83"/>
  <c r="AG82"/>
  <c r="X82"/>
  <c r="W82"/>
  <c r="V82"/>
  <c r="U82" s="1"/>
  <c r="Q82"/>
  <c r="G82"/>
  <c r="AG81"/>
  <c r="X81"/>
  <c r="W81"/>
  <c r="V81"/>
  <c r="U81" s="1"/>
  <c r="Q81"/>
  <c r="G81"/>
  <c r="K81" s="1"/>
  <c r="AG80"/>
  <c r="X80"/>
  <c r="W80"/>
  <c r="V80"/>
  <c r="U80" s="1"/>
  <c r="Q80"/>
  <c r="K80"/>
  <c r="G80"/>
  <c r="AD79"/>
  <c r="X79"/>
  <c r="W79"/>
  <c r="V79"/>
  <c r="Q79"/>
  <c r="G79"/>
  <c r="AD78"/>
  <c r="AD69" s="1"/>
  <c r="X78"/>
  <c r="W78"/>
  <c r="V78"/>
  <c r="Q78"/>
  <c r="G78"/>
  <c r="AD77"/>
  <c r="X77"/>
  <c r="W77"/>
  <c r="V77"/>
  <c r="Q77"/>
  <c r="G77"/>
  <c r="AD76"/>
  <c r="X76"/>
  <c r="W76"/>
  <c r="U76" s="1"/>
  <c r="V76"/>
  <c r="Q76"/>
  <c r="P76"/>
  <c r="P69" s="1"/>
  <c r="L76"/>
  <c r="K76" s="1"/>
  <c r="G76"/>
  <c r="AA75"/>
  <c r="X75"/>
  <c r="W75"/>
  <c r="V75"/>
  <c r="U75" s="1"/>
  <c r="Q75"/>
  <c r="M75"/>
  <c r="L75"/>
  <c r="G75"/>
  <c r="AB74"/>
  <c r="AA74" s="1"/>
  <c r="X74"/>
  <c r="W74"/>
  <c r="Q74"/>
  <c r="M74"/>
  <c r="L74"/>
  <c r="G74"/>
  <c r="AA73"/>
  <c r="X73"/>
  <c r="W73"/>
  <c r="V73"/>
  <c r="Q73"/>
  <c r="M73"/>
  <c r="L73"/>
  <c r="G73"/>
  <c r="AA72"/>
  <c r="X72"/>
  <c r="W72"/>
  <c r="V72"/>
  <c r="Q72"/>
  <c r="M72"/>
  <c r="M69" s="1"/>
  <c r="L72"/>
  <c r="G72"/>
  <c r="X71"/>
  <c r="W71"/>
  <c r="V71"/>
  <c r="U71" s="1"/>
  <c r="Q71"/>
  <c r="G71"/>
  <c r="K71" s="1"/>
  <c r="A71"/>
  <c r="A72" s="1"/>
  <c r="A73" s="1"/>
  <c r="A74" s="1"/>
  <c r="A75" s="1"/>
  <c r="A76" s="1"/>
  <c r="A77" s="1"/>
  <c r="A78" s="1"/>
  <c r="A79" s="1"/>
  <c r="A80" s="1"/>
  <c r="A81" s="1"/>
  <c r="A82" s="1"/>
  <c r="A83" s="1"/>
  <c r="X70"/>
  <c r="W70"/>
  <c r="V70"/>
  <c r="Q70"/>
  <c r="G70"/>
  <c r="AK69"/>
  <c r="AI69"/>
  <c r="AH69"/>
  <c r="AF69"/>
  <c r="AE69"/>
  <c r="AC69"/>
  <c r="Z69"/>
  <c r="Y69"/>
  <c r="T69"/>
  <c r="S69"/>
  <c r="R69"/>
  <c r="O69"/>
  <c r="J69"/>
  <c r="I69"/>
  <c r="H69"/>
  <c r="AG68"/>
  <c r="Q68"/>
  <c r="N68"/>
  <c r="AG67"/>
  <c r="Q67"/>
  <c r="N67"/>
  <c r="AG66"/>
  <c r="Q66"/>
  <c r="N66"/>
  <c r="AG65"/>
  <c r="Q65"/>
  <c r="N65"/>
  <c r="AI64"/>
  <c r="AI56" s="1"/>
  <c r="AH64"/>
  <c r="AD64"/>
  <c r="W64"/>
  <c r="V64"/>
  <c r="U64" s="1"/>
  <c r="Q64"/>
  <c r="N64"/>
  <c r="M64"/>
  <c r="L64"/>
  <c r="G64"/>
  <c r="AD63"/>
  <c r="AD56" s="1"/>
  <c r="X63"/>
  <c r="W63"/>
  <c r="V63"/>
  <c r="Q63"/>
  <c r="P63"/>
  <c r="N63" s="1"/>
  <c r="L63"/>
  <c r="K63" s="1"/>
  <c r="G63"/>
  <c r="AD62"/>
  <c r="X62"/>
  <c r="W62"/>
  <c r="V62"/>
  <c r="Q62"/>
  <c r="P62"/>
  <c r="N62"/>
  <c r="L62"/>
  <c r="K62" s="1"/>
  <c r="G62"/>
  <c r="AA61"/>
  <c r="X61"/>
  <c r="W61"/>
  <c r="V61"/>
  <c r="Q61"/>
  <c r="M61"/>
  <c r="L61"/>
  <c r="G61"/>
  <c r="AA60"/>
  <c r="X60"/>
  <c r="W60"/>
  <c r="V60"/>
  <c r="U60" s="1"/>
  <c r="Q60"/>
  <c r="M60"/>
  <c r="K60" s="1"/>
  <c r="L60"/>
  <c r="G60"/>
  <c r="X59"/>
  <c r="W59"/>
  <c r="V59"/>
  <c r="Q59"/>
  <c r="G59"/>
  <c r="X58"/>
  <c r="W58"/>
  <c r="V58"/>
  <c r="Q58"/>
  <c r="G58"/>
  <c r="A58"/>
  <c r="A59" s="1"/>
  <c r="A60" s="1"/>
  <c r="A61" s="1"/>
  <c r="A62" s="1"/>
  <c r="A63" s="1"/>
  <c r="A64" s="1"/>
  <c r="A65" s="1"/>
  <c r="A66" s="1"/>
  <c r="A67" s="1"/>
  <c r="A68" s="1"/>
  <c r="X57"/>
  <c r="W57"/>
  <c r="V57"/>
  <c r="U57"/>
  <c r="Q57"/>
  <c r="G57"/>
  <c r="AK56"/>
  <c r="AH56"/>
  <c r="AF56"/>
  <c r="AE56"/>
  <c r="AC56"/>
  <c r="AB56"/>
  <c r="AA56"/>
  <c r="Z56"/>
  <c r="Y56"/>
  <c r="T56"/>
  <c r="S56"/>
  <c r="R56"/>
  <c r="O56"/>
  <c r="J56"/>
  <c r="I56"/>
  <c r="H56"/>
  <c r="AG55"/>
  <c r="Q55"/>
  <c r="N55"/>
  <c r="AG54"/>
  <c r="X54"/>
  <c r="W54"/>
  <c r="V54"/>
  <c r="U54"/>
  <c r="Q54"/>
  <c r="N54"/>
  <c r="G54"/>
  <c r="AG53"/>
  <c r="AG46" s="1"/>
  <c r="X53"/>
  <c r="W53"/>
  <c r="V53"/>
  <c r="Q53"/>
  <c r="N53"/>
  <c r="G53"/>
  <c r="AD52"/>
  <c r="AD46" s="1"/>
  <c r="X52"/>
  <c r="W52"/>
  <c r="V52"/>
  <c r="U52" s="1"/>
  <c r="Q52"/>
  <c r="P52"/>
  <c r="N52" s="1"/>
  <c r="N46" s="1"/>
  <c r="L52"/>
  <c r="K52" s="1"/>
  <c r="G52"/>
  <c r="AA51"/>
  <c r="AA46" s="1"/>
  <c r="X51"/>
  <c r="W51"/>
  <c r="V51"/>
  <c r="Q51"/>
  <c r="M51"/>
  <c r="M46" s="1"/>
  <c r="L51"/>
  <c r="G51"/>
  <c r="X50"/>
  <c r="W50"/>
  <c r="V50"/>
  <c r="Q50"/>
  <c r="G50"/>
  <c r="X49"/>
  <c r="W49"/>
  <c r="V49"/>
  <c r="U49" s="1"/>
  <c r="Q49"/>
  <c r="G49"/>
  <c r="X48"/>
  <c r="W48"/>
  <c r="V48"/>
  <c r="Q48"/>
  <c r="G48"/>
  <c r="A48"/>
  <c r="A49" s="1"/>
  <c r="A50" s="1"/>
  <c r="A51" s="1"/>
  <c r="A52" s="1"/>
  <c r="A53" s="1"/>
  <c r="A54" s="1"/>
  <c r="A55" s="1"/>
  <c r="X47"/>
  <c r="W47"/>
  <c r="V47"/>
  <c r="Q47"/>
  <c r="G47"/>
  <c r="AK46"/>
  <c r="AI46"/>
  <c r="AH46"/>
  <c r="AF46"/>
  <c r="AE46"/>
  <c r="AC46"/>
  <c r="AB46"/>
  <c r="Z46"/>
  <c r="Y46"/>
  <c r="S46"/>
  <c r="R46"/>
  <c r="O46"/>
  <c r="L46"/>
  <c r="J46"/>
  <c r="I46"/>
  <c r="H46"/>
  <c r="AG45"/>
  <c r="X45"/>
  <c r="U45" s="1"/>
  <c r="W45"/>
  <c r="V45"/>
  <c r="Q45"/>
  <c r="K45"/>
  <c r="G45"/>
  <c r="AG44"/>
  <c r="Q44"/>
  <c r="G44"/>
  <c r="AG43"/>
  <c r="X43"/>
  <c r="U43" s="1"/>
  <c r="W43"/>
  <c r="V43"/>
  <c r="Q43"/>
  <c r="P43"/>
  <c r="O43"/>
  <c r="N43" s="1"/>
  <c r="G43"/>
  <c r="A43"/>
  <c r="A44" s="1"/>
  <c r="A45" s="1"/>
  <c r="AD42"/>
  <c r="U42" s="1"/>
  <c r="W42"/>
  <c r="V42"/>
  <c r="Q42"/>
  <c r="P42"/>
  <c r="L42"/>
  <c r="K42" s="1"/>
  <c r="G42"/>
  <c r="AD41"/>
  <c r="X41"/>
  <c r="W41"/>
  <c r="V41"/>
  <c r="Q41"/>
  <c r="P41"/>
  <c r="O41"/>
  <c r="G41"/>
  <c r="AD40"/>
  <c r="X40"/>
  <c r="W40"/>
  <c r="V40"/>
  <c r="Q40"/>
  <c r="M40"/>
  <c r="L40"/>
  <c r="K40" s="1"/>
  <c r="G40"/>
  <c r="AD39"/>
  <c r="X39"/>
  <c r="U39" s="1"/>
  <c r="W39"/>
  <c r="V39"/>
  <c r="Q39"/>
  <c r="M39"/>
  <c r="L39"/>
  <c r="G39"/>
  <c r="AA38"/>
  <c r="X38"/>
  <c r="W38"/>
  <c r="V38"/>
  <c r="Q38"/>
  <c r="M38"/>
  <c r="M31" s="1"/>
  <c r="L38"/>
  <c r="G38"/>
  <c r="AA37"/>
  <c r="X37"/>
  <c r="U37" s="1"/>
  <c r="W37"/>
  <c r="V37"/>
  <c r="Q37"/>
  <c r="G37"/>
  <c r="AA36"/>
  <c r="AA31" s="1"/>
  <c r="X36"/>
  <c r="W36"/>
  <c r="V36"/>
  <c r="Q36"/>
  <c r="G36"/>
  <c r="X35"/>
  <c r="W35"/>
  <c r="V35"/>
  <c r="Q35"/>
  <c r="K35" s="1"/>
  <c r="G35"/>
  <c r="X34"/>
  <c r="U34" s="1"/>
  <c r="W34"/>
  <c r="V34"/>
  <c r="Q34"/>
  <c r="G34"/>
  <c r="X33"/>
  <c r="U33" s="1"/>
  <c r="W33"/>
  <c r="V33"/>
  <c r="Q33"/>
  <c r="G33"/>
  <c r="X32"/>
  <c r="U32" s="1"/>
  <c r="W32"/>
  <c r="V32"/>
  <c r="Q32"/>
  <c r="G32"/>
  <c r="AK31"/>
  <c r="AI31"/>
  <c r="AH31"/>
  <c r="AF31"/>
  <c r="AE31"/>
  <c r="AC31"/>
  <c r="AB31"/>
  <c r="Z31"/>
  <c r="Y31"/>
  <c r="T31"/>
  <c r="S31"/>
  <c r="R31"/>
  <c r="J31"/>
  <c r="I31"/>
  <c r="H31"/>
  <c r="AH30"/>
  <c r="AG30" s="1"/>
  <c r="R30"/>
  <c r="Q30" s="1"/>
  <c r="O30"/>
  <c r="N30" s="1"/>
  <c r="AG29"/>
  <c r="Q29"/>
  <c r="N29"/>
  <c r="AG28"/>
  <c r="X28"/>
  <c r="W28"/>
  <c r="V28"/>
  <c r="U28"/>
  <c r="Q28"/>
  <c r="O28"/>
  <c r="N28" s="1"/>
  <c r="M28"/>
  <c r="K28" s="1"/>
  <c r="G28"/>
  <c r="AG27"/>
  <c r="X27"/>
  <c r="W27"/>
  <c r="V27"/>
  <c r="U27"/>
  <c r="Q27"/>
  <c r="G27"/>
  <c r="AG26"/>
  <c r="X26"/>
  <c r="W26"/>
  <c r="V26"/>
  <c r="U26"/>
  <c r="Q26"/>
  <c r="O26"/>
  <c r="N26" s="1"/>
  <c r="G26"/>
  <c r="AH25"/>
  <c r="AG25" s="1"/>
  <c r="X25"/>
  <c r="W25"/>
  <c r="V25"/>
  <c r="U25"/>
  <c r="R25"/>
  <c r="O25" s="1"/>
  <c r="G25"/>
  <c r="AD24"/>
  <c r="U24" s="1"/>
  <c r="X24"/>
  <c r="W24"/>
  <c r="V24"/>
  <c r="Q24"/>
  <c r="P24"/>
  <c r="P15" s="1"/>
  <c r="O24"/>
  <c r="G24"/>
  <c r="AD23"/>
  <c r="U23" s="1"/>
  <c r="X23"/>
  <c r="W23"/>
  <c r="V23"/>
  <c r="Q23"/>
  <c r="M23"/>
  <c r="L23"/>
  <c r="G23"/>
  <c r="AD22"/>
  <c r="U22" s="1"/>
  <c r="X22"/>
  <c r="W22"/>
  <c r="V22"/>
  <c r="Q22"/>
  <c r="M22"/>
  <c r="L22"/>
  <c r="G22"/>
  <c r="AA21"/>
  <c r="U21" s="1"/>
  <c r="X21"/>
  <c r="W21"/>
  <c r="V21"/>
  <c r="Q21"/>
  <c r="M21"/>
  <c r="L21"/>
  <c r="G21"/>
  <c r="AB20"/>
  <c r="V20" s="1"/>
  <c r="X20"/>
  <c r="W20"/>
  <c r="Q20"/>
  <c r="M20"/>
  <c r="L20"/>
  <c r="G20"/>
  <c r="AB19"/>
  <c r="V19" s="1"/>
  <c r="X19"/>
  <c r="W19"/>
  <c r="Q19"/>
  <c r="M19"/>
  <c r="L19"/>
  <c r="G19"/>
  <c r="X18"/>
  <c r="U18" s="1"/>
  <c r="W18"/>
  <c r="V18"/>
  <c r="Q18"/>
  <c r="K18" s="1"/>
  <c r="G18"/>
  <c r="N18" s="1"/>
  <c r="X17"/>
  <c r="U17" s="1"/>
  <c r="W17"/>
  <c r="V17"/>
  <c r="Q17"/>
  <c r="N17" s="1"/>
  <c r="G17"/>
  <c r="A17"/>
  <c r="A18" s="1"/>
  <c r="A19" s="1"/>
  <c r="A20" s="1"/>
  <c r="A21" s="1"/>
  <c r="A22" s="1"/>
  <c r="A23" s="1"/>
  <c r="A24" s="1"/>
  <c r="A25" s="1"/>
  <c r="A26" s="1"/>
  <c r="A27" s="1"/>
  <c r="A28" s="1"/>
  <c r="A29" s="1"/>
  <c r="A30" s="1"/>
  <c r="X16"/>
  <c r="W16"/>
  <c r="V16"/>
  <c r="U16"/>
  <c r="Q16"/>
  <c r="N16"/>
  <c r="G16"/>
  <c r="K16" s="1"/>
  <c r="AK15"/>
  <c r="AI15"/>
  <c r="AH15"/>
  <c r="AF15"/>
  <c r="AE15"/>
  <c r="AC15"/>
  <c r="Z15"/>
  <c r="Y15"/>
  <c r="T15"/>
  <c r="S15"/>
  <c r="J15"/>
  <c r="I15"/>
  <c r="H15"/>
  <c r="X12"/>
  <c r="X11" s="1"/>
  <c r="X10" s="1"/>
  <c r="S12"/>
  <c r="S11" s="1"/>
  <c r="S10" s="1"/>
  <c r="R12"/>
  <c r="Q12" s="1"/>
  <c r="Q11" s="1"/>
  <c r="Q10" s="1"/>
  <c r="N12"/>
  <c r="N11" s="1"/>
  <c r="N10" s="1"/>
  <c r="G12"/>
  <c r="AK11"/>
  <c r="AK10" s="1"/>
  <c r="Z11"/>
  <c r="Z10" s="1"/>
  <c r="Y11"/>
  <c r="Y10" s="1"/>
  <c r="P11"/>
  <c r="P10" s="1"/>
  <c r="O11"/>
  <c r="M11"/>
  <c r="M10" s="1"/>
  <c r="L11"/>
  <c r="L10" s="1"/>
  <c r="K11"/>
  <c r="K10" s="1"/>
  <c r="J11"/>
  <c r="J10" s="1"/>
  <c r="I11"/>
  <c r="I10" s="1"/>
  <c r="H11"/>
  <c r="G11" s="1"/>
  <c r="G10" s="1"/>
  <c r="O10"/>
  <c r="G7"/>
  <c r="H7" s="1"/>
  <c r="I7" s="1"/>
  <c r="J7" s="1"/>
  <c r="X7" s="1"/>
  <c r="Y7" s="1"/>
  <c r="Z7" s="1"/>
  <c r="AK7" s="1"/>
  <c r="AL7" s="1"/>
  <c r="A3"/>
  <c r="E10" i="25" l="1"/>
  <c r="E9" s="1"/>
  <c r="C11"/>
  <c r="C10" s="1"/>
  <c r="C9" s="1"/>
  <c r="N12" s="1"/>
  <c r="AA19" i="19"/>
  <c r="AG31"/>
  <c r="U58"/>
  <c r="K77"/>
  <c r="K79"/>
  <c r="U103"/>
  <c r="N110"/>
  <c r="U148"/>
  <c r="AA152"/>
  <c r="U155"/>
  <c r="X181"/>
  <c r="U210"/>
  <c r="U222"/>
  <c r="N248"/>
  <c r="U281"/>
  <c r="Z14"/>
  <c r="Z13" s="1"/>
  <c r="Z8" s="1"/>
  <c r="O31"/>
  <c r="AI84"/>
  <c r="AI14" s="1"/>
  <c r="AD163"/>
  <c r="AB15"/>
  <c r="K44"/>
  <c r="X46"/>
  <c r="K51"/>
  <c r="U63"/>
  <c r="U77"/>
  <c r="U94"/>
  <c r="U117"/>
  <c r="U128"/>
  <c r="K130"/>
  <c r="K139"/>
  <c r="K144"/>
  <c r="N152"/>
  <c r="K176"/>
  <c r="M181"/>
  <c r="U191"/>
  <c r="AD198"/>
  <c r="K250"/>
  <c r="L69"/>
  <c r="N76"/>
  <c r="N69" s="1"/>
  <c r="U85"/>
  <c r="U137"/>
  <c r="U139"/>
  <c r="K149"/>
  <c r="K178"/>
  <c r="N181"/>
  <c r="U216"/>
  <c r="U221"/>
  <c r="U225"/>
  <c r="U232"/>
  <c r="N245"/>
  <c r="U282"/>
  <c r="K22"/>
  <c r="Q25"/>
  <c r="Q15" s="1"/>
  <c r="U41"/>
  <c r="V56"/>
  <c r="AN57" s="1"/>
  <c r="AN58" s="1"/>
  <c r="U59"/>
  <c r="U56" s="1"/>
  <c r="AM57" s="1"/>
  <c r="U62"/>
  <c r="U91"/>
  <c r="U98"/>
  <c r="AD105"/>
  <c r="Q105"/>
  <c r="K121"/>
  <c r="K146"/>
  <c r="U171"/>
  <c r="K215"/>
  <c r="P218"/>
  <c r="X218"/>
  <c r="X223"/>
  <c r="U241"/>
  <c r="N261"/>
  <c r="L15"/>
  <c r="W46"/>
  <c r="W56"/>
  <c r="AO57" s="1"/>
  <c r="AO58" s="1"/>
  <c r="M56"/>
  <c r="AA84"/>
  <c r="G198"/>
  <c r="U278"/>
  <c r="M105"/>
  <c r="U78"/>
  <c r="AG120"/>
  <c r="U141"/>
  <c r="K158"/>
  <c r="K187"/>
  <c r="O198"/>
  <c r="K217"/>
  <c r="N230"/>
  <c r="N240"/>
  <c r="R11"/>
  <c r="R10" s="1"/>
  <c r="AK14"/>
  <c r="AK13" s="1"/>
  <c r="AK8" s="1"/>
  <c r="AD238"/>
  <c r="G15"/>
  <c r="P31"/>
  <c r="U50"/>
  <c r="U113"/>
  <c r="U138"/>
  <c r="U143"/>
  <c r="N145"/>
  <c r="K150"/>
  <c r="N162"/>
  <c r="U170"/>
  <c r="N172"/>
  <c r="U187"/>
  <c r="O218"/>
  <c r="U224"/>
  <c r="Q223"/>
  <c r="AA223"/>
  <c r="U240"/>
  <c r="K263"/>
  <c r="N266"/>
  <c r="N252" s="1"/>
  <c r="AO47"/>
  <c r="AO48" s="1"/>
  <c r="X31"/>
  <c r="U48"/>
  <c r="U46" s="1"/>
  <c r="AM47" s="1"/>
  <c r="AM48" s="1"/>
  <c r="X152"/>
  <c r="W163"/>
  <c r="AO164" s="1"/>
  <c r="AO165" s="1"/>
  <c r="Q163"/>
  <c r="V218"/>
  <c r="AN219" s="1"/>
  <c r="AN220" s="1"/>
  <c r="AD223"/>
  <c r="Q238"/>
  <c r="H14"/>
  <c r="H13" s="1"/>
  <c r="K36"/>
  <c r="U40"/>
  <c r="G56"/>
  <c r="W69"/>
  <c r="AO70" s="1"/>
  <c r="K107"/>
  <c r="X120"/>
  <c r="U127"/>
  <c r="U130"/>
  <c r="U132"/>
  <c r="V136"/>
  <c r="AN137" s="1"/>
  <c r="AN138" s="1"/>
  <c r="K154"/>
  <c r="U168"/>
  <c r="K170"/>
  <c r="K173"/>
  <c r="U176"/>
  <c r="P181"/>
  <c r="K200"/>
  <c r="W201"/>
  <c r="U201" s="1"/>
  <c r="K210"/>
  <c r="U212"/>
  <c r="U215"/>
  <c r="AO219"/>
  <c r="AO220" s="1"/>
  <c r="K228"/>
  <c r="N236"/>
  <c r="N223" s="1"/>
  <c r="K247"/>
  <c r="U250"/>
  <c r="Q252"/>
  <c r="AD252"/>
  <c r="N269"/>
  <c r="K272"/>
  <c r="U275"/>
  <c r="Q291"/>
  <c r="Q290" s="1"/>
  <c r="Q285" s="1"/>
  <c r="P198"/>
  <c r="V252"/>
  <c r="AN253" s="1"/>
  <c r="AN254" s="1"/>
  <c r="X252"/>
  <c r="J14"/>
  <c r="J13" s="1"/>
  <c r="J8" s="1"/>
  <c r="AD15"/>
  <c r="K19"/>
  <c r="AA20"/>
  <c r="U20" s="1"/>
  <c r="Y14"/>
  <c r="Y13" s="1"/>
  <c r="Y8" s="1"/>
  <c r="K34"/>
  <c r="K38"/>
  <c r="G46"/>
  <c r="P56"/>
  <c r="AA69"/>
  <c r="W84"/>
  <c r="G91"/>
  <c r="K100"/>
  <c r="U107"/>
  <c r="N111"/>
  <c r="AG105"/>
  <c r="AD120"/>
  <c r="U140"/>
  <c r="P136"/>
  <c r="U154"/>
  <c r="K156"/>
  <c r="K161"/>
  <c r="U173"/>
  <c r="N175"/>
  <c r="U183"/>
  <c r="K186"/>
  <c r="K203"/>
  <c r="X198"/>
  <c r="U211"/>
  <c r="L218"/>
  <c r="U228"/>
  <c r="U236"/>
  <c r="N259"/>
  <c r="U260"/>
  <c r="N262"/>
  <c r="U263"/>
  <c r="U266"/>
  <c r="U283"/>
  <c r="N56"/>
  <c r="N136"/>
  <c r="AE14"/>
  <c r="Q46"/>
  <c r="K46"/>
  <c r="Q69"/>
  <c r="K72"/>
  <c r="X84"/>
  <c r="W181"/>
  <c r="AO182" s="1"/>
  <c r="AO183" s="1"/>
  <c r="G252"/>
  <c r="M15"/>
  <c r="AF14"/>
  <c r="K32"/>
  <c r="U36"/>
  <c r="AD31"/>
  <c r="U47"/>
  <c r="X56"/>
  <c r="K61"/>
  <c r="U73"/>
  <c r="U79"/>
  <c r="AG69"/>
  <c r="U96"/>
  <c r="K98"/>
  <c r="U111"/>
  <c r="U122"/>
  <c r="W120"/>
  <c r="AO121" s="1"/>
  <c r="AO122" s="1"/>
  <c r="U126"/>
  <c r="K133"/>
  <c r="U150"/>
  <c r="M152"/>
  <c r="AD152"/>
  <c r="U159"/>
  <c r="O163"/>
  <c r="V163"/>
  <c r="AN164" s="1"/>
  <c r="AN165" s="1"/>
  <c r="P163"/>
  <c r="U175"/>
  <c r="K177"/>
  <c r="U186"/>
  <c r="U189"/>
  <c r="U200"/>
  <c r="K205"/>
  <c r="K206"/>
  <c r="N220"/>
  <c r="AO224"/>
  <c r="AO225" s="1"/>
  <c r="G238"/>
  <c r="U244"/>
  <c r="AG238"/>
  <c r="U249"/>
  <c r="K253"/>
  <c r="K255"/>
  <c r="N265"/>
  <c r="U269"/>
  <c r="N271"/>
  <c r="U274"/>
  <c r="K276"/>
  <c r="U277"/>
  <c r="S290"/>
  <c r="S285" s="1"/>
  <c r="X15"/>
  <c r="N24"/>
  <c r="V46"/>
  <c r="AN47" s="1"/>
  <c r="AN48" s="1"/>
  <c r="R15"/>
  <c r="R14" s="1"/>
  <c r="R13" s="1"/>
  <c r="AG15"/>
  <c r="K37"/>
  <c r="U38"/>
  <c r="L56"/>
  <c r="U61"/>
  <c r="U72"/>
  <c r="K78"/>
  <c r="U93"/>
  <c r="X136"/>
  <c r="AD136"/>
  <c r="AG136"/>
  <c r="K155"/>
  <c r="X163"/>
  <c r="U169"/>
  <c r="U172"/>
  <c r="U177"/>
  <c r="AN182"/>
  <c r="AN183" s="1"/>
  <c r="U184"/>
  <c r="AA181"/>
  <c r="AB198"/>
  <c r="U213"/>
  <c r="U220"/>
  <c r="W238"/>
  <c r="AO239" s="1"/>
  <c r="AO240" s="1"/>
  <c r="P238"/>
  <c r="U246"/>
  <c r="W252"/>
  <c r="AO253" s="1"/>
  <c r="AO254" s="1"/>
  <c r="K264"/>
  <c r="N267"/>
  <c r="U268"/>
  <c r="U271"/>
  <c r="U276"/>
  <c r="U284"/>
  <c r="L198"/>
  <c r="U206"/>
  <c r="K213"/>
  <c r="P223"/>
  <c r="G31"/>
  <c r="P46"/>
  <c r="U108"/>
  <c r="U123"/>
  <c r="U144"/>
  <c r="U158"/>
  <c r="L163"/>
  <c r="U174"/>
  <c r="K190"/>
  <c r="AG181"/>
  <c r="Q198"/>
  <c r="K201"/>
  <c r="U226"/>
  <c r="K232"/>
  <c r="AG223"/>
  <c r="K258"/>
  <c r="AA252"/>
  <c r="K270"/>
  <c r="U273"/>
  <c r="N278"/>
  <c r="AA105"/>
  <c r="K21"/>
  <c r="W31"/>
  <c r="AO32" s="1"/>
  <c r="AO33" s="1"/>
  <c r="W136"/>
  <c r="K202"/>
  <c r="K17"/>
  <c r="L31"/>
  <c r="V31"/>
  <c r="AN32" s="1"/>
  <c r="AN33" s="1"/>
  <c r="Q56"/>
  <c r="K64"/>
  <c r="K90"/>
  <c r="U95"/>
  <c r="L105"/>
  <c r="P120"/>
  <c r="G136"/>
  <c r="M163"/>
  <c r="AD181"/>
  <c r="K208"/>
  <c r="G223"/>
  <c r="W15"/>
  <c r="X69"/>
  <c r="X105"/>
  <c r="O223"/>
  <c r="T14"/>
  <c r="T13" s="1"/>
  <c r="T9" s="1"/>
  <c r="K20"/>
  <c r="K23"/>
  <c r="K39"/>
  <c r="K31" s="1"/>
  <c r="U53"/>
  <c r="K82"/>
  <c r="U90"/>
  <c r="K92"/>
  <c r="K99"/>
  <c r="K132"/>
  <c r="K138"/>
  <c r="K143"/>
  <c r="U149"/>
  <c r="U166"/>
  <c r="K168"/>
  <c r="L181"/>
  <c r="U185"/>
  <c r="U192"/>
  <c r="U194"/>
  <c r="N198"/>
  <c r="U208"/>
  <c r="AG198"/>
  <c r="K219"/>
  <c r="K218" s="1"/>
  <c r="U229"/>
  <c r="U243"/>
  <c r="K256"/>
  <c r="N260"/>
  <c r="U264"/>
  <c r="AG252"/>
  <c r="K56"/>
  <c r="N15"/>
  <c r="O15"/>
  <c r="N25"/>
  <c r="V15"/>
  <c r="AN16" s="1"/>
  <c r="AN17" s="1"/>
  <c r="H10"/>
  <c r="U51"/>
  <c r="G69"/>
  <c r="AO137"/>
  <c r="AO138" s="1"/>
  <c r="K70"/>
  <c r="K73"/>
  <c r="K101"/>
  <c r="K142"/>
  <c r="K160"/>
  <c r="U19"/>
  <c r="U35"/>
  <c r="K134"/>
  <c r="L136"/>
  <c r="U70"/>
  <c r="U145"/>
  <c r="L152"/>
  <c r="U164"/>
  <c r="U92"/>
  <c r="P94"/>
  <c r="G94"/>
  <c r="AG84"/>
  <c r="O84"/>
  <c r="N104"/>
  <c r="V120"/>
  <c r="AN121" s="1"/>
  <c r="AN122" s="1"/>
  <c r="U121"/>
  <c r="Q134"/>
  <c r="Q120" s="1"/>
  <c r="S120"/>
  <c r="AG162"/>
  <c r="AG152" s="1"/>
  <c r="N41"/>
  <c r="N42"/>
  <c r="K123"/>
  <c r="G120"/>
  <c r="V198"/>
  <c r="AN199" s="1"/>
  <c r="AN200" s="1"/>
  <c r="U202"/>
  <c r="M88"/>
  <c r="M84" s="1"/>
  <c r="G88"/>
  <c r="I84"/>
  <c r="N238"/>
  <c r="K33"/>
  <c r="K91"/>
  <c r="L84"/>
  <c r="AD84"/>
  <c r="K75"/>
  <c r="U88"/>
  <c r="V89"/>
  <c r="AB84"/>
  <c r="N109"/>
  <c r="W152"/>
  <c r="AO153" s="1"/>
  <c r="AO154" s="1"/>
  <c r="U161"/>
  <c r="G163"/>
  <c r="AA163"/>
  <c r="K238"/>
  <c r="Q31"/>
  <c r="AG64"/>
  <c r="AG56" s="1"/>
  <c r="G105"/>
  <c r="K106"/>
  <c r="K105" s="1"/>
  <c r="P105"/>
  <c r="AA120"/>
  <c r="U125"/>
  <c r="V152"/>
  <c r="AN153" s="1"/>
  <c r="Q292"/>
  <c r="R290"/>
  <c r="R285" s="1"/>
  <c r="AO16"/>
  <c r="AO17" s="1"/>
  <c r="S84"/>
  <c r="Q103"/>
  <c r="Q84" s="1"/>
  <c r="U109"/>
  <c r="U115"/>
  <c r="G152"/>
  <c r="N163"/>
  <c r="K74"/>
  <c r="V105"/>
  <c r="AN106" s="1"/>
  <c r="AN107" s="1"/>
  <c r="W105"/>
  <c r="AO106" s="1"/>
  <c r="AO107" s="1"/>
  <c r="N218"/>
  <c r="N125"/>
  <c r="N120" s="1"/>
  <c r="K131"/>
  <c r="Q136"/>
  <c r="Q162"/>
  <c r="Q152" s="1"/>
  <c r="K166"/>
  <c r="AG180"/>
  <c r="AG163" s="1"/>
  <c r="U219"/>
  <c r="V223"/>
  <c r="AN224" s="1"/>
  <c r="AN225" s="1"/>
  <c r="V242"/>
  <c r="O290"/>
  <c r="O285" s="1"/>
  <c r="U153"/>
  <c r="AA202"/>
  <c r="AA198" s="1"/>
  <c r="N222"/>
  <c r="AA243"/>
  <c r="L252"/>
  <c r="M291"/>
  <c r="M290" s="1"/>
  <c r="M285" s="1"/>
  <c r="G181"/>
  <c r="M198"/>
  <c r="L223"/>
  <c r="M252"/>
  <c r="AB69"/>
  <c r="AH152"/>
  <c r="AH14" s="1"/>
  <c r="U165"/>
  <c r="M223"/>
  <c r="AA242"/>
  <c r="O252"/>
  <c r="K254"/>
  <c r="X285"/>
  <c r="U255"/>
  <c r="M120"/>
  <c r="AC198"/>
  <c r="AC14" s="1"/>
  <c r="K199"/>
  <c r="M218"/>
  <c r="K225"/>
  <c r="K223" s="1"/>
  <c r="U254"/>
  <c r="N292"/>
  <c r="N290" s="1"/>
  <c r="N285" s="1"/>
  <c r="V74"/>
  <c r="U74" s="1"/>
  <c r="L238"/>
  <c r="P152"/>
  <c r="W204"/>
  <c r="L290"/>
  <c r="L285" s="1"/>
  <c r="O136"/>
  <c r="Q218"/>
  <c r="O238"/>
  <c r="U136" l="1"/>
  <c r="AM137" s="1"/>
  <c r="AM138" s="1"/>
  <c r="R9"/>
  <c r="K152"/>
  <c r="M14"/>
  <c r="M13" s="1"/>
  <c r="M9" s="1"/>
  <c r="U15"/>
  <c r="K136"/>
  <c r="AA15"/>
  <c r="K15"/>
  <c r="U223"/>
  <c r="AM224" s="1"/>
  <c r="AM225" s="1"/>
  <c r="S14"/>
  <c r="S13" s="1"/>
  <c r="S9" s="1"/>
  <c r="K181"/>
  <c r="U105"/>
  <c r="AM106" s="1"/>
  <c r="AM107" s="1"/>
  <c r="N31"/>
  <c r="X14"/>
  <c r="X13" s="1"/>
  <c r="U181"/>
  <c r="AA238"/>
  <c r="AO71"/>
  <c r="AO72"/>
  <c r="U152"/>
  <c r="U31"/>
  <c r="AM32" s="1"/>
  <c r="AM33" s="1"/>
  <c r="AD14"/>
  <c r="K120"/>
  <c r="J9"/>
  <c r="AB14"/>
  <c r="K198"/>
  <c r="U218"/>
  <c r="AM219" s="1"/>
  <c r="AM220" s="1"/>
  <c r="U252"/>
  <c r="AM253" s="1"/>
  <c r="AM254" s="1"/>
  <c r="AM182"/>
  <c r="AM183" s="1"/>
  <c r="K163"/>
  <c r="AA14"/>
  <c r="N105"/>
  <c r="U163"/>
  <c r="AM164" s="1"/>
  <c r="AM165" s="1"/>
  <c r="AN154"/>
  <c r="L14"/>
  <c r="L13" s="1"/>
  <c r="L9" s="1"/>
  <c r="X8"/>
  <c r="AO85"/>
  <c r="AO86" s="1"/>
  <c r="K252"/>
  <c r="G84"/>
  <c r="AG14"/>
  <c r="G14"/>
  <c r="G13" s="1"/>
  <c r="Q14"/>
  <c r="Q13" s="1"/>
  <c r="Q9" s="1"/>
  <c r="U242"/>
  <c r="U238" s="1"/>
  <c r="AM239" s="1"/>
  <c r="AM240" s="1"/>
  <c r="V238"/>
  <c r="AN239" s="1"/>
  <c r="AN240" s="1"/>
  <c r="U89"/>
  <c r="U84" s="1"/>
  <c r="AM85" s="1"/>
  <c r="AM86" s="1"/>
  <c r="V84"/>
  <c r="AN85" s="1"/>
  <c r="AN86" s="1"/>
  <c r="K69"/>
  <c r="N94"/>
  <c r="N84" s="1"/>
  <c r="P84"/>
  <c r="P14" s="1"/>
  <c r="P13" s="1"/>
  <c r="P9" s="1"/>
  <c r="K103"/>
  <c r="U204"/>
  <c r="U198" s="1"/>
  <c r="AM199" s="1"/>
  <c r="AM200" s="1"/>
  <c r="W198"/>
  <c r="AO199" s="1"/>
  <c r="AO200" s="1"/>
  <c r="K291"/>
  <c r="K290" s="1"/>
  <c r="K285" s="1"/>
  <c r="I14"/>
  <c r="I13" s="1"/>
  <c r="AM23"/>
  <c r="AM24" s="1"/>
  <c r="AM16"/>
  <c r="AM17" s="1"/>
  <c r="U69"/>
  <c r="U120"/>
  <c r="AM121" s="1"/>
  <c r="AM122" s="1"/>
  <c r="V69"/>
  <c r="AN70" s="1"/>
  <c r="K88"/>
  <c r="AM58"/>
  <c r="AM153"/>
  <c r="AM154" s="1"/>
  <c r="H9"/>
  <c r="H8"/>
  <c r="O14"/>
  <c r="O13" s="1"/>
  <c r="O9" s="1"/>
  <c r="N14" l="1"/>
  <c r="N13" s="1"/>
  <c r="N9" s="1"/>
  <c r="K84"/>
  <c r="K14"/>
  <c r="K13" s="1"/>
  <c r="K9" s="1"/>
  <c r="U14"/>
  <c r="AM70"/>
  <c r="W14"/>
  <c r="V14"/>
  <c r="G9"/>
  <c r="G8"/>
  <c r="I9"/>
  <c r="I8"/>
  <c r="AN71"/>
  <c r="AN72"/>
  <c r="AM72" l="1"/>
  <c r="AM71"/>
  <c r="P291" i="18" l="1"/>
  <c r="S291" s="1"/>
  <c r="O291"/>
  <c r="R291" s="1"/>
  <c r="N291"/>
  <c r="N289" s="1"/>
  <c r="X290"/>
  <c r="X289" s="1"/>
  <c r="S290"/>
  <c r="M290" s="1"/>
  <c r="M289" s="1"/>
  <c r="R290"/>
  <c r="Q290" s="1"/>
  <c r="G290"/>
  <c r="AK289"/>
  <c r="Z289"/>
  <c r="Y289"/>
  <c r="T289"/>
  <c r="P289"/>
  <c r="O289"/>
  <c r="J289"/>
  <c r="I289"/>
  <c r="H289"/>
  <c r="X288"/>
  <c r="G288"/>
  <c r="X287"/>
  <c r="G287"/>
  <c r="X286"/>
  <c r="G286"/>
  <c r="X285"/>
  <c r="G285"/>
  <c r="AK284"/>
  <c r="Z284"/>
  <c r="Y284"/>
  <c r="J284"/>
  <c r="I284"/>
  <c r="H284"/>
  <c r="X283"/>
  <c r="W283"/>
  <c r="V283"/>
  <c r="K283"/>
  <c r="G283"/>
  <c r="X282"/>
  <c r="W282"/>
  <c r="V282"/>
  <c r="U282"/>
  <c r="K282"/>
  <c r="G282"/>
  <c r="X281"/>
  <c r="W281"/>
  <c r="V281"/>
  <c r="U281" s="1"/>
  <c r="K281"/>
  <c r="G281"/>
  <c r="X280"/>
  <c r="W280"/>
  <c r="V280"/>
  <c r="U280" s="1"/>
  <c r="K280"/>
  <c r="G280"/>
  <c r="X279"/>
  <c r="W279"/>
  <c r="V279"/>
  <c r="U279" s="1"/>
  <c r="K279"/>
  <c r="G279"/>
  <c r="X278"/>
  <c r="W278"/>
  <c r="V278"/>
  <c r="K278"/>
  <c r="G278"/>
  <c r="AG277"/>
  <c r="X277"/>
  <c r="W277"/>
  <c r="V277"/>
  <c r="U277" s="1"/>
  <c r="Q277"/>
  <c r="P277"/>
  <c r="O277"/>
  <c r="G277"/>
  <c r="AG276"/>
  <c r="X276"/>
  <c r="W276"/>
  <c r="V276"/>
  <c r="U276" s="1"/>
  <c r="Q276"/>
  <c r="O276"/>
  <c r="N276" s="1"/>
  <c r="M276"/>
  <c r="K276" s="1"/>
  <c r="G276"/>
  <c r="AG275"/>
  <c r="X275"/>
  <c r="W275"/>
  <c r="V275"/>
  <c r="Q275"/>
  <c r="G275"/>
  <c r="AG274"/>
  <c r="X274"/>
  <c r="W274"/>
  <c r="V274"/>
  <c r="U274"/>
  <c r="Q274"/>
  <c r="M274"/>
  <c r="L274"/>
  <c r="G274"/>
  <c r="AG273"/>
  <c r="X273"/>
  <c r="W273"/>
  <c r="V273"/>
  <c r="Q273"/>
  <c r="O273"/>
  <c r="N273" s="1"/>
  <c r="M273"/>
  <c r="K273"/>
  <c r="G273"/>
  <c r="AG272"/>
  <c r="X272"/>
  <c r="W272"/>
  <c r="V272"/>
  <c r="Q272"/>
  <c r="G272"/>
  <c r="AG271"/>
  <c r="X271"/>
  <c r="W271"/>
  <c r="V271"/>
  <c r="Q271"/>
  <c r="G271"/>
  <c r="K271" s="1"/>
  <c r="AG270"/>
  <c r="X270"/>
  <c r="W270"/>
  <c r="V270"/>
  <c r="Q270"/>
  <c r="P270"/>
  <c r="O270"/>
  <c r="N270" s="1"/>
  <c r="G270"/>
  <c r="AG269"/>
  <c r="X269"/>
  <c r="W269"/>
  <c r="V269"/>
  <c r="U269"/>
  <c r="Q269"/>
  <c r="M269"/>
  <c r="L269"/>
  <c r="G269"/>
  <c r="AD268"/>
  <c r="X268"/>
  <c r="W268"/>
  <c r="V268"/>
  <c r="U268" s="1"/>
  <c r="Q268"/>
  <c r="P268"/>
  <c r="O268"/>
  <c r="N268" s="1"/>
  <c r="G268"/>
  <c r="AD267"/>
  <c r="X267"/>
  <c r="W267"/>
  <c r="V267"/>
  <c r="U267" s="1"/>
  <c r="Q267"/>
  <c r="P267"/>
  <c r="O267"/>
  <c r="N267" s="1"/>
  <c r="G267"/>
  <c r="AD266"/>
  <c r="X266"/>
  <c r="W266"/>
  <c r="V266"/>
  <c r="Q266"/>
  <c r="P266"/>
  <c r="O266"/>
  <c r="G266"/>
  <c r="AD265"/>
  <c r="X265"/>
  <c r="W265"/>
  <c r="U265" s="1"/>
  <c r="V265"/>
  <c r="Q265"/>
  <c r="P265"/>
  <c r="O265"/>
  <c r="G265"/>
  <c r="AA264"/>
  <c r="X264"/>
  <c r="W264"/>
  <c r="V264"/>
  <c r="U264" s="1"/>
  <c r="Q264"/>
  <c r="P264"/>
  <c r="O264"/>
  <c r="N264"/>
  <c r="G264"/>
  <c r="AA263"/>
  <c r="X263"/>
  <c r="W263"/>
  <c r="V263"/>
  <c r="U263" s="1"/>
  <c r="Q263"/>
  <c r="M263"/>
  <c r="L263"/>
  <c r="G263"/>
  <c r="AA262"/>
  <c r="X262"/>
  <c r="W262"/>
  <c r="V262"/>
  <c r="U262" s="1"/>
  <c r="Q262"/>
  <c r="M262"/>
  <c r="K262" s="1"/>
  <c r="L262"/>
  <c r="G262"/>
  <c r="AA261"/>
  <c r="X261"/>
  <c r="W261"/>
  <c r="V261"/>
  <c r="U261" s="1"/>
  <c r="Q261"/>
  <c r="P261"/>
  <c r="O261"/>
  <c r="N261" s="1"/>
  <c r="G261"/>
  <c r="AD260"/>
  <c r="X260"/>
  <c r="W260"/>
  <c r="V260"/>
  <c r="Q260"/>
  <c r="P260"/>
  <c r="O260"/>
  <c r="N260"/>
  <c r="G260"/>
  <c r="AA259"/>
  <c r="X259"/>
  <c r="W259"/>
  <c r="V259"/>
  <c r="U259" s="1"/>
  <c r="Q259"/>
  <c r="P259"/>
  <c r="O259"/>
  <c r="G259"/>
  <c r="AA258"/>
  <c r="X258"/>
  <c r="W258"/>
  <c r="V258"/>
  <c r="Q258"/>
  <c r="P258"/>
  <c r="O258"/>
  <c r="N258" s="1"/>
  <c r="G258"/>
  <c r="X257"/>
  <c r="W257"/>
  <c r="V257"/>
  <c r="Q257"/>
  <c r="G257"/>
  <c r="X256"/>
  <c r="W256"/>
  <c r="V256"/>
  <c r="U256" s="1"/>
  <c r="Q256"/>
  <c r="G256"/>
  <c r="K256" s="1"/>
  <c r="X255"/>
  <c r="W255"/>
  <c r="V255"/>
  <c r="Q255"/>
  <c r="G255"/>
  <c r="X254"/>
  <c r="W254"/>
  <c r="V254"/>
  <c r="Q254"/>
  <c r="G254"/>
  <c r="X253"/>
  <c r="W253"/>
  <c r="V253"/>
  <c r="U253" s="1"/>
  <c r="Q253"/>
  <c r="G253"/>
  <c r="A253"/>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X252"/>
  <c r="W252"/>
  <c r="V252"/>
  <c r="Q252"/>
  <c r="G252"/>
  <c r="AK251"/>
  <c r="AI251"/>
  <c r="AH251"/>
  <c r="AF251"/>
  <c r="AE251"/>
  <c r="AC251"/>
  <c r="AB251"/>
  <c r="Z251"/>
  <c r="Y251"/>
  <c r="S251"/>
  <c r="R251"/>
  <c r="J251"/>
  <c r="I251"/>
  <c r="H251"/>
  <c r="X250"/>
  <c r="W250"/>
  <c r="V250"/>
  <c r="U250" s="1"/>
  <c r="K250"/>
  <c r="G250"/>
  <c r="AG249"/>
  <c r="X249"/>
  <c r="W249"/>
  <c r="U249" s="1"/>
  <c r="V249"/>
  <c r="Q249"/>
  <c r="M249"/>
  <c r="L249"/>
  <c r="K249"/>
  <c r="G249"/>
  <c r="AG248"/>
  <c r="X248"/>
  <c r="W248"/>
  <c r="V248"/>
  <c r="Q248"/>
  <c r="G248"/>
  <c r="AG247"/>
  <c r="X247"/>
  <c r="W247"/>
  <c r="V247"/>
  <c r="U247" s="1"/>
  <c r="Q247"/>
  <c r="P247"/>
  <c r="O247"/>
  <c r="N247" s="1"/>
  <c r="G247"/>
  <c r="AG246"/>
  <c r="X246"/>
  <c r="W246"/>
  <c r="V246"/>
  <c r="Q246"/>
  <c r="G246"/>
  <c r="K246" s="1"/>
  <c r="AG245"/>
  <c r="X245"/>
  <c r="W245"/>
  <c r="V245"/>
  <c r="U245" s="1"/>
  <c r="Q245"/>
  <c r="G245"/>
  <c r="AD244"/>
  <c r="X244"/>
  <c r="W244"/>
  <c r="V244"/>
  <c r="U244" s="1"/>
  <c r="P244"/>
  <c r="O244"/>
  <c r="G244"/>
  <c r="AD243"/>
  <c r="AD237" s="1"/>
  <c r="X243"/>
  <c r="W243"/>
  <c r="V243"/>
  <c r="P243"/>
  <c r="N243" s="1"/>
  <c r="L243"/>
  <c r="K243" s="1"/>
  <c r="G243"/>
  <c r="AB242"/>
  <c r="V242" s="1"/>
  <c r="AA242"/>
  <c r="X242"/>
  <c r="W242"/>
  <c r="L242"/>
  <c r="L237" s="1"/>
  <c r="K242"/>
  <c r="G242"/>
  <c r="AB241"/>
  <c r="V241" s="1"/>
  <c r="X241"/>
  <c r="W241"/>
  <c r="L241"/>
  <c r="K241"/>
  <c r="G241"/>
  <c r="AA240"/>
  <c r="X240"/>
  <c r="W240"/>
  <c r="V240"/>
  <c r="U240" s="1"/>
  <c r="P240"/>
  <c r="O240"/>
  <c r="G240"/>
  <c r="AA239"/>
  <c r="X239"/>
  <c r="W239"/>
  <c r="V239"/>
  <c r="P239"/>
  <c r="O239"/>
  <c r="G239"/>
  <c r="A239"/>
  <c r="A240" s="1"/>
  <c r="A241" s="1"/>
  <c r="A242" s="1"/>
  <c r="A243" s="1"/>
  <c r="A244" s="1"/>
  <c r="A245" s="1"/>
  <c r="A246" s="1"/>
  <c r="A247" s="1"/>
  <c r="A248" s="1"/>
  <c r="A249" s="1"/>
  <c r="A250" s="1"/>
  <c r="X238"/>
  <c r="W238"/>
  <c r="V238"/>
  <c r="U238" s="1"/>
  <c r="G238"/>
  <c r="K238" s="1"/>
  <c r="AK237"/>
  <c r="AI237"/>
  <c r="AH237"/>
  <c r="AF237"/>
  <c r="AE237"/>
  <c r="AC237"/>
  <c r="Z237"/>
  <c r="Y237"/>
  <c r="S237"/>
  <c r="R237"/>
  <c r="M237"/>
  <c r="J237"/>
  <c r="I237"/>
  <c r="H237"/>
  <c r="AG236"/>
  <c r="Q236"/>
  <c r="N236"/>
  <c r="AG235"/>
  <c r="X235"/>
  <c r="W235"/>
  <c r="V235"/>
  <c r="Q235"/>
  <c r="P235"/>
  <c r="O235"/>
  <c r="N235" s="1"/>
  <c r="G235"/>
  <c r="AG234"/>
  <c r="X234"/>
  <c r="W234"/>
  <c r="V234"/>
  <c r="U234"/>
  <c r="Q234"/>
  <c r="O234"/>
  <c r="N234" s="1"/>
  <c r="M234"/>
  <c r="K234" s="1"/>
  <c r="G234"/>
  <c r="AG233"/>
  <c r="X233"/>
  <c r="W233"/>
  <c r="V233"/>
  <c r="U233" s="1"/>
  <c r="Q233"/>
  <c r="O233"/>
  <c r="M233"/>
  <c r="K233" s="1"/>
  <c r="G233"/>
  <c r="AG232"/>
  <c r="X232"/>
  <c r="W232"/>
  <c r="V232"/>
  <c r="Q232"/>
  <c r="O232"/>
  <c r="N232" s="1"/>
  <c r="M232"/>
  <c r="K232" s="1"/>
  <c r="G232"/>
  <c r="AG231"/>
  <c r="X231"/>
  <c r="W231"/>
  <c r="V231"/>
  <c r="U231" s="1"/>
  <c r="Q231"/>
  <c r="M231"/>
  <c r="L231"/>
  <c r="K231" s="1"/>
  <c r="G231"/>
  <c r="AD230"/>
  <c r="X230"/>
  <c r="W230"/>
  <c r="V230"/>
  <c r="U230"/>
  <c r="Q230"/>
  <c r="P230"/>
  <c r="N230" s="1"/>
  <c r="L230"/>
  <c r="K230" s="1"/>
  <c r="G230"/>
  <c r="AA229"/>
  <c r="X229"/>
  <c r="W229"/>
  <c r="U229" s="1"/>
  <c r="V229"/>
  <c r="Q229"/>
  <c r="P229"/>
  <c r="O229"/>
  <c r="G229"/>
  <c r="AD228"/>
  <c r="AD222" s="1"/>
  <c r="X228"/>
  <c r="W228"/>
  <c r="V228"/>
  <c r="U228" s="1"/>
  <c r="Q228"/>
  <c r="P228"/>
  <c r="N228" s="1"/>
  <c r="L228"/>
  <c r="K228"/>
  <c r="G228"/>
  <c r="AA227"/>
  <c r="X227"/>
  <c r="W227"/>
  <c r="V227"/>
  <c r="U227" s="1"/>
  <c r="Q227"/>
  <c r="M227"/>
  <c r="L227"/>
  <c r="G227"/>
  <c r="AA226"/>
  <c r="X226"/>
  <c r="W226"/>
  <c r="V226"/>
  <c r="U226" s="1"/>
  <c r="Q226"/>
  <c r="P226"/>
  <c r="N226"/>
  <c r="L226"/>
  <c r="K226" s="1"/>
  <c r="G226"/>
  <c r="AD225"/>
  <c r="X225"/>
  <c r="W225"/>
  <c r="U225" s="1"/>
  <c r="V225"/>
  <c r="Q225"/>
  <c r="P225"/>
  <c r="N225"/>
  <c r="L225"/>
  <c r="K225" s="1"/>
  <c r="G225"/>
  <c r="A225"/>
  <c r="A226" s="1"/>
  <c r="A227" s="1"/>
  <c r="A228" s="1"/>
  <c r="A229" s="1"/>
  <c r="A231" s="1"/>
  <c r="A232" s="1"/>
  <c r="A230" s="1"/>
  <c r="A233" s="1"/>
  <c r="A234" s="1"/>
  <c r="A235" s="1"/>
  <c r="A236" s="1"/>
  <c r="X224"/>
  <c r="W224"/>
  <c r="V224"/>
  <c r="Q224"/>
  <c r="G224"/>
  <c r="A224"/>
  <c r="X223"/>
  <c r="W223"/>
  <c r="V223"/>
  <c r="Q223"/>
  <c r="G223"/>
  <c r="AK222"/>
  <c r="AI222"/>
  <c r="AH222"/>
  <c r="AF222"/>
  <c r="AE222"/>
  <c r="AC222"/>
  <c r="AB222"/>
  <c r="Z222"/>
  <c r="Y222"/>
  <c r="T222"/>
  <c r="S222"/>
  <c r="R222"/>
  <c r="J222"/>
  <c r="I222"/>
  <c r="H222"/>
  <c r="AG221"/>
  <c r="AG217" s="1"/>
  <c r="X221"/>
  <c r="W221"/>
  <c r="V221"/>
  <c r="U221"/>
  <c r="Q221"/>
  <c r="O221"/>
  <c r="N221" s="1"/>
  <c r="M221"/>
  <c r="M217" s="1"/>
  <c r="G221"/>
  <c r="AD220"/>
  <c r="AD217" s="1"/>
  <c r="X220"/>
  <c r="W220"/>
  <c r="V220"/>
  <c r="U220" s="1"/>
  <c r="Q220"/>
  <c r="P220"/>
  <c r="N220" s="1"/>
  <c r="L220"/>
  <c r="L217" s="1"/>
  <c r="K220"/>
  <c r="G220"/>
  <c r="AA219"/>
  <c r="AA217" s="1"/>
  <c r="X219"/>
  <c r="W219"/>
  <c r="V219"/>
  <c r="U219" s="1"/>
  <c r="Q219"/>
  <c r="P219"/>
  <c r="O219"/>
  <c r="N219" s="1"/>
  <c r="G219"/>
  <c r="A219"/>
  <c r="A220" s="1"/>
  <c r="A221" s="1"/>
  <c r="X218"/>
  <c r="W218"/>
  <c r="W217" s="1"/>
  <c r="V218"/>
  <c r="Q218"/>
  <c r="G218"/>
  <c r="AK217"/>
  <c r="AI217"/>
  <c r="AH217"/>
  <c r="AF217"/>
  <c r="AE217"/>
  <c r="AC217"/>
  <c r="AB217"/>
  <c r="Z217"/>
  <c r="Y217"/>
  <c r="T217"/>
  <c r="S217"/>
  <c r="R217"/>
  <c r="P217"/>
  <c r="J217"/>
  <c r="I217"/>
  <c r="H217"/>
  <c r="AG216"/>
  <c r="X216"/>
  <c r="W216"/>
  <c r="V216"/>
  <c r="U216" s="1"/>
  <c r="Q216"/>
  <c r="G216"/>
  <c r="AG215"/>
  <c r="X215"/>
  <c r="W215"/>
  <c r="U215" s="1"/>
  <c r="V215"/>
  <c r="Q215"/>
  <c r="G215"/>
  <c r="K215" s="1"/>
  <c r="AG214"/>
  <c r="X214"/>
  <c r="W214"/>
  <c r="U214" s="1"/>
  <c r="V214"/>
  <c r="Q214"/>
  <c r="G214"/>
  <c r="AG213"/>
  <c r="X213"/>
  <c r="W213"/>
  <c r="U213" s="1"/>
  <c r="V213"/>
  <c r="Q213"/>
  <c r="G213"/>
  <c r="AG212"/>
  <c r="X212"/>
  <c r="W212"/>
  <c r="V212"/>
  <c r="Q212"/>
  <c r="G212"/>
  <c r="K212" s="1"/>
  <c r="AG211"/>
  <c r="X211"/>
  <c r="W211"/>
  <c r="V211"/>
  <c r="Q211"/>
  <c r="O211"/>
  <c r="N211" s="1"/>
  <c r="M211"/>
  <c r="K211" s="1"/>
  <c r="G211"/>
  <c r="AD210"/>
  <c r="X210"/>
  <c r="W210"/>
  <c r="V210"/>
  <c r="U210" s="1"/>
  <c r="Q210"/>
  <c r="G210"/>
  <c r="K210" s="1"/>
  <c r="AL209"/>
  <c r="AK209"/>
  <c r="AG209"/>
  <c r="AD209"/>
  <c r="AJ209" s="1"/>
  <c r="X209"/>
  <c r="W209"/>
  <c r="U209" s="1"/>
  <c r="V209"/>
  <c r="Q209"/>
  <c r="M209"/>
  <c r="L209"/>
  <c r="G209"/>
  <c r="AD208"/>
  <c r="X208"/>
  <c r="W208"/>
  <c r="V208"/>
  <c r="U208" s="1"/>
  <c r="Q208"/>
  <c r="G208"/>
  <c r="AD207"/>
  <c r="X207"/>
  <c r="W207"/>
  <c r="V207"/>
  <c r="Q207"/>
  <c r="G207"/>
  <c r="AD206"/>
  <c r="AC206"/>
  <c r="W206" s="1"/>
  <c r="AB206"/>
  <c r="V206" s="1"/>
  <c r="AA206"/>
  <c r="X206"/>
  <c r="Q206"/>
  <c r="P206"/>
  <c r="N206"/>
  <c r="L206"/>
  <c r="K206" s="1"/>
  <c r="G206"/>
  <c r="AA205"/>
  <c r="X205"/>
  <c r="W205"/>
  <c r="V205"/>
  <c r="Q205"/>
  <c r="G205"/>
  <c r="K205" s="1"/>
  <c r="AA204"/>
  <c r="X204"/>
  <c r="W204"/>
  <c r="V204"/>
  <c r="U204" s="1"/>
  <c r="Q204"/>
  <c r="K204" s="1"/>
  <c r="G204"/>
  <c r="AD203"/>
  <c r="AC203"/>
  <c r="AA203" s="1"/>
  <c r="X203"/>
  <c r="W203"/>
  <c r="V203"/>
  <c r="U203" s="1"/>
  <c r="Q203"/>
  <c r="P203"/>
  <c r="N203" s="1"/>
  <c r="L203"/>
  <c r="K203" s="1"/>
  <c r="G203"/>
  <c r="AA202"/>
  <c r="X202"/>
  <c r="W202"/>
  <c r="V202"/>
  <c r="U202" s="1"/>
  <c r="Q202"/>
  <c r="G202"/>
  <c r="K202" s="1"/>
  <c r="AB201"/>
  <c r="AA201" s="1"/>
  <c r="X201"/>
  <c r="W201"/>
  <c r="Q201"/>
  <c r="M201"/>
  <c r="L201"/>
  <c r="G201"/>
  <c r="AC200"/>
  <c r="W200" s="1"/>
  <c r="AA200"/>
  <c r="X200"/>
  <c r="V200"/>
  <c r="Q200"/>
  <c r="M200"/>
  <c r="L200"/>
  <c r="G200"/>
  <c r="X199"/>
  <c r="W199"/>
  <c r="U199" s="1"/>
  <c r="V199"/>
  <c r="Q199"/>
  <c r="G199"/>
  <c r="X198"/>
  <c r="W198"/>
  <c r="V198"/>
  <c r="Q198"/>
  <c r="G198"/>
  <c r="K198" s="1"/>
  <c r="AK197"/>
  <c r="AI197"/>
  <c r="AH197"/>
  <c r="AF197"/>
  <c r="AE197"/>
  <c r="Z197"/>
  <c r="Y197"/>
  <c r="T197"/>
  <c r="S197"/>
  <c r="R197"/>
  <c r="J197"/>
  <c r="I197"/>
  <c r="H197"/>
  <c r="AG196"/>
  <c r="AG195"/>
  <c r="AG194"/>
  <c r="X194"/>
  <c r="W194"/>
  <c r="V194"/>
  <c r="U194"/>
  <c r="G194"/>
  <c r="K194" s="1"/>
  <c r="AG193"/>
  <c r="X193"/>
  <c r="W193"/>
  <c r="U193" s="1"/>
  <c r="V193"/>
  <c r="G193"/>
  <c r="K193" s="1"/>
  <c r="AG192"/>
  <c r="X192"/>
  <c r="W192"/>
  <c r="V192"/>
  <c r="G192"/>
  <c r="K192" s="1"/>
  <c r="AG191"/>
  <c r="X191"/>
  <c r="W191"/>
  <c r="V191"/>
  <c r="U191" s="1"/>
  <c r="G191"/>
  <c r="K191" s="1"/>
  <c r="AG190"/>
  <c r="X190"/>
  <c r="W190"/>
  <c r="V190"/>
  <c r="G190"/>
  <c r="K190" s="1"/>
  <c r="AD189"/>
  <c r="X189"/>
  <c r="W189"/>
  <c r="V189"/>
  <c r="M189"/>
  <c r="L189"/>
  <c r="G189"/>
  <c r="AD188"/>
  <c r="X188"/>
  <c r="W188"/>
  <c r="V188"/>
  <c r="P188"/>
  <c r="N188" s="1"/>
  <c r="L188"/>
  <c r="K188" s="1"/>
  <c r="G188"/>
  <c r="AD187"/>
  <c r="X187"/>
  <c r="W187"/>
  <c r="U187" s="1"/>
  <c r="V187"/>
  <c r="P187"/>
  <c r="N187" s="1"/>
  <c r="N180" s="1"/>
  <c r="L187"/>
  <c r="K187"/>
  <c r="G187"/>
  <c r="AA186"/>
  <c r="X186"/>
  <c r="W186"/>
  <c r="V186"/>
  <c r="M186"/>
  <c r="L186"/>
  <c r="K186" s="1"/>
  <c r="G186"/>
  <c r="AA185"/>
  <c r="AA180" s="1"/>
  <c r="X185"/>
  <c r="W185"/>
  <c r="V185"/>
  <c r="M185"/>
  <c r="L185"/>
  <c r="K185"/>
  <c r="G185"/>
  <c r="X184"/>
  <c r="W184"/>
  <c r="V184"/>
  <c r="U184" s="1"/>
  <c r="G184"/>
  <c r="K184" s="1"/>
  <c r="X183"/>
  <c r="W183"/>
  <c r="V183"/>
  <c r="G183"/>
  <c r="K183" s="1"/>
  <c r="X182"/>
  <c r="W182"/>
  <c r="V182"/>
  <c r="U182" s="1"/>
  <c r="G182"/>
  <c r="K182" s="1"/>
  <c r="A182"/>
  <c r="A183" s="1"/>
  <c r="A184" s="1"/>
  <c r="A185" s="1"/>
  <c r="A186" s="1"/>
  <c r="A187" s="1"/>
  <c r="A188" s="1"/>
  <c r="A189" s="1"/>
  <c r="A190" s="1"/>
  <c r="A191" s="1"/>
  <c r="A192" s="1"/>
  <c r="A193" s="1"/>
  <c r="A194" s="1"/>
  <c r="A195" s="1"/>
  <c r="A196" s="1"/>
  <c r="X181"/>
  <c r="W181"/>
  <c r="V181"/>
  <c r="G181"/>
  <c r="AK180"/>
  <c r="AI180"/>
  <c r="AH180"/>
  <c r="AF180"/>
  <c r="AE180"/>
  <c r="AC180"/>
  <c r="AB180"/>
  <c r="Z180"/>
  <c r="Y180"/>
  <c r="T180"/>
  <c r="S180"/>
  <c r="R180"/>
  <c r="Q180"/>
  <c r="P180"/>
  <c r="O180"/>
  <c r="J180"/>
  <c r="I180"/>
  <c r="H180"/>
  <c r="AH179"/>
  <c r="AG179"/>
  <c r="R179"/>
  <c r="R162" s="1"/>
  <c r="Q179"/>
  <c r="O179"/>
  <c r="N179" s="1"/>
  <c r="AG178"/>
  <c r="Q178"/>
  <c r="N178"/>
  <c r="AG177"/>
  <c r="Q177"/>
  <c r="G177"/>
  <c r="AG176"/>
  <c r="X176"/>
  <c r="W176"/>
  <c r="V176"/>
  <c r="U176" s="1"/>
  <c r="Q176"/>
  <c r="G176"/>
  <c r="AG175"/>
  <c r="X175"/>
  <c r="W175"/>
  <c r="V175"/>
  <c r="Q175"/>
  <c r="M175"/>
  <c r="L175"/>
  <c r="K175" s="1"/>
  <c r="G175"/>
  <c r="AG174"/>
  <c r="X174"/>
  <c r="W174"/>
  <c r="V174"/>
  <c r="Q174"/>
  <c r="P174"/>
  <c r="O174"/>
  <c r="N174" s="1"/>
  <c r="G174"/>
  <c r="AG173"/>
  <c r="X173"/>
  <c r="W173"/>
  <c r="V173"/>
  <c r="U173"/>
  <c r="Q173"/>
  <c r="G173"/>
  <c r="AD172"/>
  <c r="X172"/>
  <c r="W172"/>
  <c r="V172"/>
  <c r="U172" s="1"/>
  <c r="M172"/>
  <c r="K172" s="1"/>
  <c r="L172"/>
  <c r="G172"/>
  <c r="AD171"/>
  <c r="X171"/>
  <c r="W171"/>
  <c r="V171"/>
  <c r="P171"/>
  <c r="N171" s="1"/>
  <c r="O171"/>
  <c r="G171"/>
  <c r="AD170"/>
  <c r="X170"/>
  <c r="W170"/>
  <c r="V170"/>
  <c r="M170"/>
  <c r="L170"/>
  <c r="K170"/>
  <c r="G170"/>
  <c r="AD169"/>
  <c r="AD162" s="1"/>
  <c r="X169"/>
  <c r="W169"/>
  <c r="V169"/>
  <c r="M169"/>
  <c r="L169"/>
  <c r="G169"/>
  <c r="AA168"/>
  <c r="X168"/>
  <c r="W168"/>
  <c r="V168"/>
  <c r="M168"/>
  <c r="L168"/>
  <c r="G168"/>
  <c r="AA167"/>
  <c r="X167"/>
  <c r="W167"/>
  <c r="V167"/>
  <c r="U167" s="1"/>
  <c r="M167"/>
  <c r="L167"/>
  <c r="K167" s="1"/>
  <c r="G167"/>
  <c r="AA166"/>
  <c r="X166"/>
  <c r="W166"/>
  <c r="V166"/>
  <c r="P166"/>
  <c r="P162" s="1"/>
  <c r="O166"/>
  <c r="G166"/>
  <c r="AA165"/>
  <c r="X165"/>
  <c r="W165"/>
  <c r="V165"/>
  <c r="M165"/>
  <c r="L165"/>
  <c r="G165"/>
  <c r="X164"/>
  <c r="W164"/>
  <c r="V164"/>
  <c r="U164" s="1"/>
  <c r="G164"/>
  <c r="K164" s="1"/>
  <c r="A164"/>
  <c r="A165" s="1"/>
  <c r="A166" s="1"/>
  <c r="A167" s="1"/>
  <c r="A168" s="1"/>
  <c r="A169" s="1"/>
  <c r="A170" s="1"/>
  <c r="A171" s="1"/>
  <c r="A172" s="1"/>
  <c r="A173" s="1"/>
  <c r="A174" s="1"/>
  <c r="A175" s="1"/>
  <c r="A176" s="1"/>
  <c r="A177" s="1"/>
  <c r="A178" s="1"/>
  <c r="A179" s="1"/>
  <c r="X163"/>
  <c r="W163"/>
  <c r="V163"/>
  <c r="U163" s="1"/>
  <c r="G163"/>
  <c r="AK162"/>
  <c r="AI162"/>
  <c r="AH162"/>
  <c r="AF162"/>
  <c r="AE162"/>
  <c r="AC162"/>
  <c r="AB162"/>
  <c r="AA162"/>
  <c r="Z162"/>
  <c r="Y162"/>
  <c r="T162"/>
  <c r="S162"/>
  <c r="J162"/>
  <c r="I162"/>
  <c r="H162"/>
  <c r="AI161"/>
  <c r="AI151" s="1"/>
  <c r="AH161"/>
  <c r="AG161" s="1"/>
  <c r="S161"/>
  <c r="R161"/>
  <c r="P161"/>
  <c r="O161"/>
  <c r="N161" s="1"/>
  <c r="AG160"/>
  <c r="X160"/>
  <c r="W160"/>
  <c r="V160"/>
  <c r="U160" s="1"/>
  <c r="Q160"/>
  <c r="G160"/>
  <c r="AG159"/>
  <c r="X159"/>
  <c r="W159"/>
  <c r="V159"/>
  <c r="Q159"/>
  <c r="G159"/>
  <c r="AD158"/>
  <c r="X158"/>
  <c r="W158"/>
  <c r="V158"/>
  <c r="M158"/>
  <c r="L158"/>
  <c r="G158"/>
  <c r="AD157"/>
  <c r="X157"/>
  <c r="W157"/>
  <c r="V157"/>
  <c r="U157" s="1"/>
  <c r="M157"/>
  <c r="L157"/>
  <c r="K157" s="1"/>
  <c r="G157"/>
  <c r="AD156"/>
  <c r="AD151" s="1"/>
  <c r="X156"/>
  <c r="W156"/>
  <c r="V156"/>
  <c r="P156"/>
  <c r="P151" s="1"/>
  <c r="L156"/>
  <c r="K156" s="1"/>
  <c r="G156"/>
  <c r="AA155"/>
  <c r="X155"/>
  <c r="W155"/>
  <c r="V155"/>
  <c r="U155" s="1"/>
  <c r="M155"/>
  <c r="L155"/>
  <c r="G155"/>
  <c r="AA154"/>
  <c r="X154"/>
  <c r="W154"/>
  <c r="V154"/>
  <c r="M154"/>
  <c r="L154"/>
  <c r="G154"/>
  <c r="AA153"/>
  <c r="X153"/>
  <c r="W153"/>
  <c r="V153"/>
  <c r="U153" s="1"/>
  <c r="M153"/>
  <c r="L153"/>
  <c r="G153"/>
  <c r="A153"/>
  <c r="A154" s="1"/>
  <c r="A155" s="1"/>
  <c r="A156" s="1"/>
  <c r="A157" s="1"/>
  <c r="A158" s="1"/>
  <c r="A159" s="1"/>
  <c r="A160" s="1"/>
  <c r="A161" s="1"/>
  <c r="AB152"/>
  <c r="V152" s="1"/>
  <c r="AA152"/>
  <c r="X152"/>
  <c r="W152"/>
  <c r="M152"/>
  <c r="L152"/>
  <c r="G152"/>
  <c r="AK151"/>
  <c r="AF151"/>
  <c r="AE151"/>
  <c r="AC151"/>
  <c r="Z151"/>
  <c r="Y151"/>
  <c r="T151"/>
  <c r="R151"/>
  <c r="J151"/>
  <c r="I151"/>
  <c r="H151"/>
  <c r="AG150"/>
  <c r="Q150"/>
  <c r="N150"/>
  <c r="AG149"/>
  <c r="X149"/>
  <c r="W149"/>
  <c r="V149"/>
  <c r="U149" s="1"/>
  <c r="Q149"/>
  <c r="G149"/>
  <c r="K149" s="1"/>
  <c r="AG148"/>
  <c r="X148"/>
  <c r="W148"/>
  <c r="U148" s="1"/>
  <c r="V148"/>
  <c r="Q148"/>
  <c r="G148"/>
  <c r="AG147"/>
  <c r="X147"/>
  <c r="W147"/>
  <c r="V147"/>
  <c r="Q147"/>
  <c r="G147"/>
  <c r="K147" s="1"/>
  <c r="AD146"/>
  <c r="X146"/>
  <c r="W146"/>
  <c r="U146" s="1"/>
  <c r="V146"/>
  <c r="Q146"/>
  <c r="O146"/>
  <c r="N146" s="1"/>
  <c r="G146"/>
  <c r="AD145"/>
  <c r="X145"/>
  <c r="W145"/>
  <c r="V145"/>
  <c r="U145"/>
  <c r="Q145"/>
  <c r="M145"/>
  <c r="L145"/>
  <c r="G145"/>
  <c r="AD144"/>
  <c r="X144"/>
  <c r="W144"/>
  <c r="V144"/>
  <c r="U144" s="1"/>
  <c r="Q144"/>
  <c r="P144"/>
  <c r="O144"/>
  <c r="N144"/>
  <c r="G144"/>
  <c r="AA143"/>
  <c r="X143"/>
  <c r="W143"/>
  <c r="V143"/>
  <c r="Q143"/>
  <c r="M143"/>
  <c r="L143"/>
  <c r="G143"/>
  <c r="AA142"/>
  <c r="X142"/>
  <c r="W142"/>
  <c r="V142"/>
  <c r="Q142"/>
  <c r="G142"/>
  <c r="K142" s="1"/>
  <c r="AD141"/>
  <c r="X141"/>
  <c r="W141"/>
  <c r="V141"/>
  <c r="Q141"/>
  <c r="G141"/>
  <c r="AA140"/>
  <c r="X140"/>
  <c r="W140"/>
  <c r="U140" s="1"/>
  <c r="V140"/>
  <c r="Q140"/>
  <c r="P140"/>
  <c r="N140" s="1"/>
  <c r="L140"/>
  <c r="K140" s="1"/>
  <c r="G140"/>
  <c r="AA139"/>
  <c r="AA135" s="1"/>
  <c r="X139"/>
  <c r="W139"/>
  <c r="V139"/>
  <c r="U139" s="1"/>
  <c r="Q139"/>
  <c r="P139"/>
  <c r="P135" s="1"/>
  <c r="L139"/>
  <c r="K139"/>
  <c r="G139"/>
  <c r="X138"/>
  <c r="W138"/>
  <c r="V138"/>
  <c r="Q138"/>
  <c r="G138"/>
  <c r="X137"/>
  <c r="W137"/>
  <c r="V137"/>
  <c r="U137" s="1"/>
  <c r="Q137"/>
  <c r="K137" s="1"/>
  <c r="G137"/>
  <c r="A137"/>
  <c r="A138" s="1"/>
  <c r="A139" s="1"/>
  <c r="A140" s="1"/>
  <c r="A141" s="1"/>
  <c r="A142" s="1"/>
  <c r="A143" s="1"/>
  <c r="A144" s="1"/>
  <c r="A145" s="1"/>
  <c r="A146" s="1"/>
  <c r="A147" s="1"/>
  <c r="A148" s="1"/>
  <c r="A149" s="1"/>
  <c r="A150" s="1"/>
  <c r="X136"/>
  <c r="W136"/>
  <c r="V136"/>
  <c r="Q136"/>
  <c r="G136"/>
  <c r="AK135"/>
  <c r="AI135"/>
  <c r="AH135"/>
  <c r="AF135"/>
  <c r="AE135"/>
  <c r="AC135"/>
  <c r="AB135"/>
  <c r="Z135"/>
  <c r="Y135"/>
  <c r="T135"/>
  <c r="S135"/>
  <c r="R135"/>
  <c r="J135"/>
  <c r="I135"/>
  <c r="H135"/>
  <c r="AG134"/>
  <c r="Q134"/>
  <c r="N134"/>
  <c r="AI133"/>
  <c r="AG133" s="1"/>
  <c r="S133"/>
  <c r="L133"/>
  <c r="G133"/>
  <c r="AG132"/>
  <c r="X132"/>
  <c r="W132"/>
  <c r="U132" s="1"/>
  <c r="V132"/>
  <c r="Q132"/>
  <c r="K132" s="1"/>
  <c r="G132"/>
  <c r="AG131"/>
  <c r="X131"/>
  <c r="W131"/>
  <c r="V131"/>
  <c r="U131" s="1"/>
  <c r="Q131"/>
  <c r="G131"/>
  <c r="AG130"/>
  <c r="X130"/>
  <c r="W130"/>
  <c r="V130"/>
  <c r="U130" s="1"/>
  <c r="Q130"/>
  <c r="G130"/>
  <c r="AD129"/>
  <c r="X129"/>
  <c r="W129"/>
  <c r="V129"/>
  <c r="M129"/>
  <c r="L129"/>
  <c r="K129" s="1"/>
  <c r="G129"/>
  <c r="AD128"/>
  <c r="X128"/>
  <c r="W128"/>
  <c r="V128"/>
  <c r="P128"/>
  <c r="N128" s="1"/>
  <c r="L128"/>
  <c r="K128" s="1"/>
  <c r="G128"/>
  <c r="AD127"/>
  <c r="X127"/>
  <c r="W127"/>
  <c r="V127"/>
  <c r="M127"/>
  <c r="L127"/>
  <c r="G127"/>
  <c r="AD126"/>
  <c r="X126"/>
  <c r="W126"/>
  <c r="V126"/>
  <c r="P126"/>
  <c r="N126" s="1"/>
  <c r="L126"/>
  <c r="K126" s="1"/>
  <c r="G126"/>
  <c r="AA125"/>
  <c r="AA119" s="1"/>
  <c r="X125"/>
  <c r="W125"/>
  <c r="V125"/>
  <c r="U125"/>
  <c r="G125"/>
  <c r="K125" s="1"/>
  <c r="AA124"/>
  <c r="X124"/>
  <c r="W124"/>
  <c r="V124"/>
  <c r="U124" s="1"/>
  <c r="P124"/>
  <c r="P119" s="1"/>
  <c r="O124"/>
  <c r="O119" s="1"/>
  <c r="G124"/>
  <c r="AA123"/>
  <c r="X123"/>
  <c r="W123"/>
  <c r="V123"/>
  <c r="G123"/>
  <c r="K123" s="1"/>
  <c r="AA122"/>
  <c r="X122"/>
  <c r="W122"/>
  <c r="V122"/>
  <c r="G122"/>
  <c r="K122" s="1"/>
  <c r="X121"/>
  <c r="W121"/>
  <c r="V121"/>
  <c r="K121"/>
  <c r="G121"/>
  <c r="A121"/>
  <c r="A122" s="1"/>
  <c r="A123" s="1"/>
  <c r="A124" s="1"/>
  <c r="A125" s="1"/>
  <c r="A126" s="1"/>
  <c r="A127" s="1"/>
  <c r="A128" s="1"/>
  <c r="A129" s="1"/>
  <c r="A130" s="1"/>
  <c r="A131" s="1"/>
  <c r="A132" s="1"/>
  <c r="A133" s="1"/>
  <c r="A134" s="1"/>
  <c r="X120"/>
  <c r="W120"/>
  <c r="V120"/>
  <c r="M120"/>
  <c r="L120"/>
  <c r="G120"/>
  <c r="AK119"/>
  <c r="AI119"/>
  <c r="AH119"/>
  <c r="AF119"/>
  <c r="AE119"/>
  <c r="AC119"/>
  <c r="AB119"/>
  <c r="Z119"/>
  <c r="Y119"/>
  <c r="T119"/>
  <c r="R119"/>
  <c r="J119"/>
  <c r="I119"/>
  <c r="H119"/>
  <c r="AG118"/>
  <c r="Q118"/>
  <c r="N118"/>
  <c r="AG117"/>
  <c r="S117"/>
  <c r="P117"/>
  <c r="N117" s="1"/>
  <c r="AG116"/>
  <c r="X116"/>
  <c r="W116"/>
  <c r="V116"/>
  <c r="U116" s="1"/>
  <c r="Q116"/>
  <c r="G116"/>
  <c r="AG115"/>
  <c r="X115"/>
  <c r="W115"/>
  <c r="V115"/>
  <c r="Q115"/>
  <c r="G115"/>
  <c r="AG114"/>
  <c r="X114"/>
  <c r="W114"/>
  <c r="V114"/>
  <c r="U114" s="1"/>
  <c r="Q114"/>
  <c r="M114"/>
  <c r="L114"/>
  <c r="G114"/>
  <c r="AG113"/>
  <c r="X113"/>
  <c r="W113"/>
  <c r="U113" s="1"/>
  <c r="V113"/>
  <c r="Q113"/>
  <c r="G113"/>
  <c r="AD112"/>
  <c r="X112"/>
  <c r="W112"/>
  <c r="V112"/>
  <c r="M112"/>
  <c r="L112"/>
  <c r="G112"/>
  <c r="K112" s="1"/>
  <c r="AD111"/>
  <c r="X111"/>
  <c r="W111"/>
  <c r="V111"/>
  <c r="M111"/>
  <c r="L111"/>
  <c r="G111"/>
  <c r="K111" s="1"/>
  <c r="AD110"/>
  <c r="X110"/>
  <c r="W110"/>
  <c r="V110"/>
  <c r="P110"/>
  <c r="O110"/>
  <c r="G110"/>
  <c r="AA109"/>
  <c r="X109"/>
  <c r="W109"/>
  <c r="V109"/>
  <c r="U109" s="1"/>
  <c r="P109"/>
  <c r="O109"/>
  <c r="G109"/>
  <c r="AA108"/>
  <c r="X108"/>
  <c r="W108"/>
  <c r="U108" s="1"/>
  <c r="V108"/>
  <c r="P108"/>
  <c r="O108"/>
  <c r="G108"/>
  <c r="X107"/>
  <c r="W107"/>
  <c r="V107"/>
  <c r="G107"/>
  <c r="K107" s="1"/>
  <c r="AC106"/>
  <c r="W106" s="1"/>
  <c r="X106"/>
  <c r="V106"/>
  <c r="M106"/>
  <c r="K106" s="1"/>
  <c r="G106"/>
  <c r="A106"/>
  <c r="A107" s="1"/>
  <c r="A108" s="1"/>
  <c r="A109" s="1"/>
  <c r="A110" s="1"/>
  <c r="A111" s="1"/>
  <c r="A112" s="1"/>
  <c r="A113" s="1"/>
  <c r="A114" s="1"/>
  <c r="A115" s="1"/>
  <c r="A116" s="1"/>
  <c r="A117" s="1"/>
  <c r="A118" s="1"/>
  <c r="X105"/>
  <c r="W105"/>
  <c r="V105"/>
  <c r="K105"/>
  <c r="G105"/>
  <c r="AK104"/>
  <c r="AI104"/>
  <c r="AH104"/>
  <c r="AF104"/>
  <c r="AE104"/>
  <c r="AB104"/>
  <c r="Z104"/>
  <c r="Y104"/>
  <c r="R104"/>
  <c r="J104"/>
  <c r="I104"/>
  <c r="H104"/>
  <c r="AH103"/>
  <c r="R103"/>
  <c r="O103"/>
  <c r="N103" s="1"/>
  <c r="AI102"/>
  <c r="AG102" s="1"/>
  <c r="X102"/>
  <c r="W102"/>
  <c r="V102"/>
  <c r="S102"/>
  <c r="S83" s="1"/>
  <c r="Q102"/>
  <c r="I102"/>
  <c r="G102" s="1"/>
  <c r="AG101"/>
  <c r="Q101"/>
  <c r="G101"/>
  <c r="K101" s="1"/>
  <c r="AG100"/>
  <c r="Q100"/>
  <c r="K100" s="1"/>
  <c r="G100"/>
  <c r="AG99"/>
  <c r="Q99"/>
  <c r="G99"/>
  <c r="K99" s="1"/>
  <c r="AG98"/>
  <c r="Q98"/>
  <c r="G98"/>
  <c r="AG97"/>
  <c r="X97"/>
  <c r="W97"/>
  <c r="V97"/>
  <c r="U97" s="1"/>
  <c r="Q97"/>
  <c r="G97"/>
  <c r="A97"/>
  <c r="A98" s="1"/>
  <c r="A99" s="1"/>
  <c r="A100" s="1"/>
  <c r="A101" s="1"/>
  <c r="A102" s="1"/>
  <c r="A103" s="1"/>
  <c r="AG96"/>
  <c r="X96"/>
  <c r="W96"/>
  <c r="U96" s="1"/>
  <c r="V96"/>
  <c r="Q96"/>
  <c r="K96" s="1"/>
  <c r="G96"/>
  <c r="AD95"/>
  <c r="X95"/>
  <c r="W95"/>
  <c r="U95" s="1"/>
  <c r="V95"/>
  <c r="P95"/>
  <c r="N95"/>
  <c r="L95"/>
  <c r="K95" s="1"/>
  <c r="G95"/>
  <c r="AD94"/>
  <c r="AD83" s="1"/>
  <c r="X94"/>
  <c r="W94"/>
  <c r="V94"/>
  <c r="P94"/>
  <c r="N94" s="1"/>
  <c r="L94"/>
  <c r="K94"/>
  <c r="G94"/>
  <c r="AD93"/>
  <c r="X93"/>
  <c r="W93"/>
  <c r="V93"/>
  <c r="L93"/>
  <c r="K93" s="1"/>
  <c r="I93"/>
  <c r="P93" s="1"/>
  <c r="N93" s="1"/>
  <c r="AD92"/>
  <c r="X92"/>
  <c r="W92"/>
  <c r="V92"/>
  <c r="P92"/>
  <c r="N92" s="1"/>
  <c r="L92"/>
  <c r="K92" s="1"/>
  <c r="G92"/>
  <c r="AD91"/>
  <c r="X91"/>
  <c r="W91"/>
  <c r="V91"/>
  <c r="U91" s="1"/>
  <c r="L91"/>
  <c r="I91"/>
  <c r="M91" s="1"/>
  <c r="K91" s="1"/>
  <c r="AA90"/>
  <c r="W90"/>
  <c r="U90" s="1"/>
  <c r="V90"/>
  <c r="L90"/>
  <c r="I90"/>
  <c r="M90" s="1"/>
  <c r="K90" s="1"/>
  <c r="AA89"/>
  <c r="X89"/>
  <c r="W89"/>
  <c r="V89"/>
  <c r="L89"/>
  <c r="I89"/>
  <c r="M89" s="1"/>
  <c r="G89"/>
  <c r="AB88"/>
  <c r="X88"/>
  <c r="W88"/>
  <c r="P88"/>
  <c r="N88" s="1"/>
  <c r="L88"/>
  <c r="K88" s="1"/>
  <c r="G88"/>
  <c r="AA87"/>
  <c r="X87"/>
  <c r="W87"/>
  <c r="V87"/>
  <c r="U87" s="1"/>
  <c r="M87"/>
  <c r="L87"/>
  <c r="I87"/>
  <c r="G87" s="1"/>
  <c r="X86"/>
  <c r="W86"/>
  <c r="V86"/>
  <c r="G86"/>
  <c r="K86" s="1"/>
  <c r="X85"/>
  <c r="W85"/>
  <c r="V85"/>
  <c r="G85"/>
  <c r="K85" s="1"/>
  <c r="X84"/>
  <c r="W84"/>
  <c r="U84" s="1"/>
  <c r="V84"/>
  <c r="G84"/>
  <c r="K84" s="1"/>
  <c r="AK83"/>
  <c r="AI83"/>
  <c r="AF83"/>
  <c r="AE83"/>
  <c r="AC83"/>
  <c r="Z83"/>
  <c r="Y83"/>
  <c r="O83"/>
  <c r="J83"/>
  <c r="H83"/>
  <c r="AG82"/>
  <c r="Q82"/>
  <c r="N82"/>
  <c r="AG81"/>
  <c r="X81"/>
  <c r="W81"/>
  <c r="V81"/>
  <c r="Q81"/>
  <c r="G81"/>
  <c r="AG80"/>
  <c r="X80"/>
  <c r="W80"/>
  <c r="V80"/>
  <c r="Q80"/>
  <c r="K80" s="1"/>
  <c r="G80"/>
  <c r="AG79"/>
  <c r="X79"/>
  <c r="W79"/>
  <c r="V79"/>
  <c r="Q79"/>
  <c r="G79"/>
  <c r="AD78"/>
  <c r="X78"/>
  <c r="W78"/>
  <c r="V78"/>
  <c r="Q78"/>
  <c r="G78"/>
  <c r="AD77"/>
  <c r="X77"/>
  <c r="W77"/>
  <c r="V77"/>
  <c r="Q77"/>
  <c r="G77"/>
  <c r="AD76"/>
  <c r="X76"/>
  <c r="W76"/>
  <c r="U76" s="1"/>
  <c r="V76"/>
  <c r="Q76"/>
  <c r="G76"/>
  <c r="AD75"/>
  <c r="X75"/>
  <c r="W75"/>
  <c r="V75"/>
  <c r="Q75"/>
  <c r="P75"/>
  <c r="L75"/>
  <c r="K75" s="1"/>
  <c r="G75"/>
  <c r="AA74"/>
  <c r="X74"/>
  <c r="W74"/>
  <c r="V74"/>
  <c r="Q74"/>
  <c r="M74"/>
  <c r="L74"/>
  <c r="K74" s="1"/>
  <c r="G74"/>
  <c r="AB73"/>
  <c r="V73" s="1"/>
  <c r="V68" s="1"/>
  <c r="AA73"/>
  <c r="X73"/>
  <c r="W73"/>
  <c r="Q73"/>
  <c r="M73"/>
  <c r="L73"/>
  <c r="K73" s="1"/>
  <c r="G73"/>
  <c r="AA72"/>
  <c r="X72"/>
  <c r="W72"/>
  <c r="V72"/>
  <c r="Q72"/>
  <c r="M72"/>
  <c r="L72"/>
  <c r="G72"/>
  <c r="AA71"/>
  <c r="X71"/>
  <c r="W71"/>
  <c r="V71"/>
  <c r="Q71"/>
  <c r="M71"/>
  <c r="L71"/>
  <c r="G71"/>
  <c r="X70"/>
  <c r="W70"/>
  <c r="V70"/>
  <c r="Q70"/>
  <c r="G70"/>
  <c r="K70" s="1"/>
  <c r="A70"/>
  <c r="A71" s="1"/>
  <c r="A72" s="1"/>
  <c r="A73" s="1"/>
  <c r="A74" s="1"/>
  <c r="A75" s="1"/>
  <c r="A76" s="1"/>
  <c r="A77" s="1"/>
  <c r="A78" s="1"/>
  <c r="A79" s="1"/>
  <c r="A80" s="1"/>
  <c r="A81" s="1"/>
  <c r="A82" s="1"/>
  <c r="X69"/>
  <c r="W69"/>
  <c r="V69"/>
  <c r="Q69"/>
  <c r="G69"/>
  <c r="K69" s="1"/>
  <c r="AK68"/>
  <c r="AI68"/>
  <c r="AH68"/>
  <c r="AF68"/>
  <c r="AE68"/>
  <c r="AC68"/>
  <c r="AB68"/>
  <c r="Z68"/>
  <c r="Y68"/>
  <c r="T68"/>
  <c r="S68"/>
  <c r="R68"/>
  <c r="O68"/>
  <c r="J68"/>
  <c r="I68"/>
  <c r="H68"/>
  <c r="AG67"/>
  <c r="Q67"/>
  <c r="N67"/>
  <c r="AG66"/>
  <c r="Q66"/>
  <c r="N66"/>
  <c r="AG65"/>
  <c r="Q65"/>
  <c r="N65"/>
  <c r="AG64"/>
  <c r="Q64"/>
  <c r="N64"/>
  <c r="AI63"/>
  <c r="AI55" s="1"/>
  <c r="AH63"/>
  <c r="AH55" s="1"/>
  <c r="AD63"/>
  <c r="W63"/>
  <c r="V63"/>
  <c r="Q63"/>
  <c r="N63"/>
  <c r="M63"/>
  <c r="L63"/>
  <c r="G63"/>
  <c r="AD62"/>
  <c r="X62"/>
  <c r="W62"/>
  <c r="V62"/>
  <c r="U62" s="1"/>
  <c r="Q62"/>
  <c r="P62"/>
  <c r="P55" s="1"/>
  <c r="L62"/>
  <c r="K62" s="1"/>
  <c r="G62"/>
  <c r="AD61"/>
  <c r="X61"/>
  <c r="W61"/>
  <c r="V61"/>
  <c r="U61" s="1"/>
  <c r="Q61"/>
  <c r="P61"/>
  <c r="N61"/>
  <c r="L61"/>
  <c r="K61" s="1"/>
  <c r="G61"/>
  <c r="AA60"/>
  <c r="X60"/>
  <c r="W60"/>
  <c r="V60"/>
  <c r="U60" s="1"/>
  <c r="Q60"/>
  <c r="M60"/>
  <c r="L60"/>
  <c r="K60" s="1"/>
  <c r="G60"/>
  <c r="AA59"/>
  <c r="X59"/>
  <c r="W59"/>
  <c r="V59"/>
  <c r="Q59"/>
  <c r="M59"/>
  <c r="L59"/>
  <c r="G59"/>
  <c r="X58"/>
  <c r="W58"/>
  <c r="V58"/>
  <c r="Q58"/>
  <c r="G58"/>
  <c r="X57"/>
  <c r="W57"/>
  <c r="V57"/>
  <c r="U57" s="1"/>
  <c r="Q57"/>
  <c r="G57"/>
  <c r="A57"/>
  <c r="A58" s="1"/>
  <c r="A59" s="1"/>
  <c r="A60" s="1"/>
  <c r="A61" s="1"/>
  <c r="A62" s="1"/>
  <c r="A63" s="1"/>
  <c r="A64" s="1"/>
  <c r="A65" s="1"/>
  <c r="A66" s="1"/>
  <c r="A67" s="1"/>
  <c r="X56"/>
  <c r="W56"/>
  <c r="V56"/>
  <c r="Q56"/>
  <c r="G56"/>
  <c r="AK55"/>
  <c r="AF55"/>
  <c r="AE55"/>
  <c r="AC55"/>
  <c r="AB55"/>
  <c r="Z55"/>
  <c r="Y55"/>
  <c r="T55"/>
  <c r="S55"/>
  <c r="R55"/>
  <c r="O55"/>
  <c r="J55"/>
  <c r="I55"/>
  <c r="H55"/>
  <c r="AG54"/>
  <c r="Q54"/>
  <c r="N54"/>
  <c r="AG53"/>
  <c r="X53"/>
  <c r="W53"/>
  <c r="U53" s="1"/>
  <c r="V53"/>
  <c r="Q53"/>
  <c r="N53"/>
  <c r="G53"/>
  <c r="AG52"/>
  <c r="X52"/>
  <c r="W52"/>
  <c r="V52"/>
  <c r="U52" s="1"/>
  <c r="Q52"/>
  <c r="N52"/>
  <c r="G52"/>
  <c r="AD51"/>
  <c r="AD45" s="1"/>
  <c r="X51"/>
  <c r="W51"/>
  <c r="V51"/>
  <c r="U51" s="1"/>
  <c r="Q51"/>
  <c r="P51"/>
  <c r="N51" s="1"/>
  <c r="N45" s="1"/>
  <c r="L51"/>
  <c r="K51" s="1"/>
  <c r="G51"/>
  <c r="AA50"/>
  <c r="X50"/>
  <c r="W50"/>
  <c r="V50"/>
  <c r="Q50"/>
  <c r="M50"/>
  <c r="M45" s="1"/>
  <c r="L50"/>
  <c r="G50"/>
  <c r="X49"/>
  <c r="W49"/>
  <c r="V49"/>
  <c r="U49" s="1"/>
  <c r="Q49"/>
  <c r="G49"/>
  <c r="X48"/>
  <c r="W48"/>
  <c r="V48"/>
  <c r="U48" s="1"/>
  <c r="Q48"/>
  <c r="G48"/>
  <c r="X47"/>
  <c r="W47"/>
  <c r="V47"/>
  <c r="Q47"/>
  <c r="G47"/>
  <c r="A47"/>
  <c r="A48" s="1"/>
  <c r="A49" s="1"/>
  <c r="A50" s="1"/>
  <c r="A51" s="1"/>
  <c r="A52" s="1"/>
  <c r="A53" s="1"/>
  <c r="A54" s="1"/>
  <c r="X46"/>
  <c r="W46"/>
  <c r="V46"/>
  <c r="Q46"/>
  <c r="G46"/>
  <c r="AK45"/>
  <c r="AI45"/>
  <c r="AH45"/>
  <c r="AF45"/>
  <c r="AE45"/>
  <c r="AC45"/>
  <c r="AB45"/>
  <c r="AA45"/>
  <c r="Z45"/>
  <c r="Y45"/>
  <c r="S45"/>
  <c r="R45"/>
  <c r="O45"/>
  <c r="J45"/>
  <c r="I45"/>
  <c r="H45"/>
  <c r="AG44"/>
  <c r="X44"/>
  <c r="U44" s="1"/>
  <c r="W44"/>
  <c r="V44"/>
  <c r="Q44"/>
  <c r="K44" s="1"/>
  <c r="G44"/>
  <c r="AG43"/>
  <c r="Q43"/>
  <c r="G43"/>
  <c r="A43"/>
  <c r="A44" s="1"/>
  <c r="AG42"/>
  <c r="X42"/>
  <c r="U42" s="1"/>
  <c r="W42"/>
  <c r="V42"/>
  <c r="Q42"/>
  <c r="P42"/>
  <c r="O42"/>
  <c r="N42" s="1"/>
  <c r="G42"/>
  <c r="A42"/>
  <c r="AD41"/>
  <c r="U41" s="1"/>
  <c r="W41"/>
  <c r="V41"/>
  <c r="Q41"/>
  <c r="P41"/>
  <c r="N41" s="1"/>
  <c r="L41"/>
  <c r="K41" s="1"/>
  <c r="G41"/>
  <c r="AD40"/>
  <c r="X40"/>
  <c r="W40"/>
  <c r="V40"/>
  <c r="Q40"/>
  <c r="P40"/>
  <c r="O40"/>
  <c r="G40"/>
  <c r="AD39"/>
  <c r="X39"/>
  <c r="U39" s="1"/>
  <c r="W39"/>
  <c r="V39"/>
  <c r="Q39"/>
  <c r="M39"/>
  <c r="L39"/>
  <c r="G39"/>
  <c r="AD38"/>
  <c r="X38"/>
  <c r="U38" s="1"/>
  <c r="W38"/>
  <c r="V38"/>
  <c r="Q38"/>
  <c r="M38"/>
  <c r="L38"/>
  <c r="G38"/>
  <c r="AA37"/>
  <c r="X37"/>
  <c r="W37"/>
  <c r="V37"/>
  <c r="Q37"/>
  <c r="M37"/>
  <c r="L37"/>
  <c r="G37"/>
  <c r="AA36"/>
  <c r="X36"/>
  <c r="W36"/>
  <c r="V36"/>
  <c r="Q36"/>
  <c r="G36"/>
  <c r="AA35"/>
  <c r="X35"/>
  <c r="W35"/>
  <c r="V35"/>
  <c r="Q35"/>
  <c r="G35"/>
  <c r="X34"/>
  <c r="U34" s="1"/>
  <c r="W34"/>
  <c r="V34"/>
  <c r="Q34"/>
  <c r="K34" s="1"/>
  <c r="G34"/>
  <c r="X33"/>
  <c r="U33" s="1"/>
  <c r="W33"/>
  <c r="V33"/>
  <c r="Q33"/>
  <c r="G33"/>
  <c r="X32"/>
  <c r="U32" s="1"/>
  <c r="W32"/>
  <c r="V32"/>
  <c r="Q32"/>
  <c r="G32"/>
  <c r="X31"/>
  <c r="W31"/>
  <c r="V31"/>
  <c r="U31"/>
  <c r="Q31"/>
  <c r="G31"/>
  <c r="AK30"/>
  <c r="AI30"/>
  <c r="AH30"/>
  <c r="AF30"/>
  <c r="AE30"/>
  <c r="AC30"/>
  <c r="AB30"/>
  <c r="Z30"/>
  <c r="Y30"/>
  <c r="T30"/>
  <c r="S30"/>
  <c r="R30"/>
  <c r="P30"/>
  <c r="M30"/>
  <c r="J30"/>
  <c r="I30"/>
  <c r="H30"/>
  <c r="AH29"/>
  <c r="AG29" s="1"/>
  <c r="R29"/>
  <c r="Q29" s="1"/>
  <c r="O29"/>
  <c r="N29" s="1"/>
  <c r="AG28"/>
  <c r="Q28"/>
  <c r="N28"/>
  <c r="AG27"/>
  <c r="X27"/>
  <c r="W27"/>
  <c r="V27"/>
  <c r="U27"/>
  <c r="Q27"/>
  <c r="O27"/>
  <c r="N27" s="1"/>
  <c r="M27"/>
  <c r="K27" s="1"/>
  <c r="G27"/>
  <c r="AG26"/>
  <c r="X26"/>
  <c r="W26"/>
  <c r="V26"/>
  <c r="U26"/>
  <c r="Q26"/>
  <c r="G26"/>
  <c r="AG25"/>
  <c r="X25"/>
  <c r="W25"/>
  <c r="V25"/>
  <c r="U25"/>
  <c r="Q25"/>
  <c r="O25"/>
  <c r="N25" s="1"/>
  <c r="G25"/>
  <c r="AH24"/>
  <c r="X24"/>
  <c r="W24"/>
  <c r="V24"/>
  <c r="U24"/>
  <c r="R24"/>
  <c r="Q24" s="1"/>
  <c r="G24"/>
  <c r="AD23"/>
  <c r="U23" s="1"/>
  <c r="X23"/>
  <c r="W23"/>
  <c r="V23"/>
  <c r="Q23"/>
  <c r="P23"/>
  <c r="P14" s="1"/>
  <c r="O23"/>
  <c r="G23"/>
  <c r="AD22"/>
  <c r="U22" s="1"/>
  <c r="X22"/>
  <c r="W22"/>
  <c r="V22"/>
  <c r="Q22"/>
  <c r="M22"/>
  <c r="L22"/>
  <c r="G22"/>
  <c r="AD21"/>
  <c r="U21" s="1"/>
  <c r="X21"/>
  <c r="W21"/>
  <c r="V21"/>
  <c r="Q21"/>
  <c r="M21"/>
  <c r="L21"/>
  <c r="G21"/>
  <c r="AA20"/>
  <c r="U20" s="1"/>
  <c r="X20"/>
  <c r="W20"/>
  <c r="V20"/>
  <c r="Q20"/>
  <c r="M20"/>
  <c r="L20"/>
  <c r="G20"/>
  <c r="AB19"/>
  <c r="AA19" s="1"/>
  <c r="U19" s="1"/>
  <c r="X19"/>
  <c r="W19"/>
  <c r="Q19"/>
  <c r="M19"/>
  <c r="L19"/>
  <c r="G19"/>
  <c r="AB18"/>
  <c r="AB14" s="1"/>
  <c r="X18"/>
  <c r="W18"/>
  <c r="V18"/>
  <c r="Q18"/>
  <c r="M18"/>
  <c r="L18"/>
  <c r="G18"/>
  <c r="X17"/>
  <c r="U17" s="1"/>
  <c r="W17"/>
  <c r="V17"/>
  <c r="Q17"/>
  <c r="N17" s="1"/>
  <c r="G17"/>
  <c r="X16"/>
  <c r="U16" s="1"/>
  <c r="W16"/>
  <c r="V16"/>
  <c r="Q16"/>
  <c r="G16"/>
  <c r="N16" s="1"/>
  <c r="A16"/>
  <c r="A17" s="1"/>
  <c r="A18" s="1"/>
  <c r="A19" s="1"/>
  <c r="A20" s="1"/>
  <c r="A21" s="1"/>
  <c r="A22" s="1"/>
  <c r="A23" s="1"/>
  <c r="A24" s="1"/>
  <c r="A25" s="1"/>
  <c r="A26" s="1"/>
  <c r="A27" s="1"/>
  <c r="A28" s="1"/>
  <c r="A29" s="1"/>
  <c r="X15"/>
  <c r="W15"/>
  <c r="V15"/>
  <c r="U15"/>
  <c r="Q15"/>
  <c r="G15"/>
  <c r="AK14"/>
  <c r="AI14"/>
  <c r="AF14"/>
  <c r="AE14"/>
  <c r="AC14"/>
  <c r="Z14"/>
  <c r="Y14"/>
  <c r="T14"/>
  <c r="S14"/>
  <c r="R14"/>
  <c r="J14"/>
  <c r="I14"/>
  <c r="H14"/>
  <c r="X11"/>
  <c r="X10" s="1"/>
  <c r="X9" s="1"/>
  <c r="S11"/>
  <c r="R11"/>
  <c r="R10" s="1"/>
  <c r="R9" s="1"/>
  <c r="N11"/>
  <c r="N10" s="1"/>
  <c r="N9" s="1"/>
  <c r="G11"/>
  <c r="AK10"/>
  <c r="AK9" s="1"/>
  <c r="Z10"/>
  <c r="Z9" s="1"/>
  <c r="Y10"/>
  <c r="Y9" s="1"/>
  <c r="P10"/>
  <c r="P9" s="1"/>
  <c r="O10"/>
  <c r="O9" s="1"/>
  <c r="M10"/>
  <c r="L10"/>
  <c r="L9" s="1"/>
  <c r="K10"/>
  <c r="K9" s="1"/>
  <c r="J10"/>
  <c r="J9" s="1"/>
  <c r="I10"/>
  <c r="I9" s="1"/>
  <c r="H10"/>
  <c r="H9" s="1"/>
  <c r="M9"/>
  <c r="G7"/>
  <c r="H7" s="1"/>
  <c r="I7" s="1"/>
  <c r="J7" s="1"/>
  <c r="X7" s="1"/>
  <c r="Y7" s="1"/>
  <c r="Z7" s="1"/>
  <c r="AK7" s="1"/>
  <c r="AL7" s="1"/>
  <c r="A3"/>
  <c r="O9" i="16"/>
  <c r="S11"/>
  <c r="S10" s="1"/>
  <c r="S9" s="1"/>
  <c r="R11"/>
  <c r="R10" s="1"/>
  <c r="R9" s="1"/>
  <c r="J10"/>
  <c r="K10"/>
  <c r="K9" s="1"/>
  <c r="L10"/>
  <c r="L9" s="1"/>
  <c r="M10"/>
  <c r="M9" s="1"/>
  <c r="O10"/>
  <c r="P10"/>
  <c r="P9" s="1"/>
  <c r="N11"/>
  <c r="N10" s="1"/>
  <c r="N9" s="1"/>
  <c r="H289"/>
  <c r="I289"/>
  <c r="J289"/>
  <c r="T289"/>
  <c r="P291"/>
  <c r="P289" s="1"/>
  <c r="O291"/>
  <c r="O289" s="1"/>
  <c r="S290"/>
  <c r="M290" s="1"/>
  <c r="M289" s="1"/>
  <c r="R290"/>
  <c r="L290" s="1"/>
  <c r="L289" s="1"/>
  <c r="L104" i="18" l="1"/>
  <c r="G14"/>
  <c r="K32"/>
  <c r="G68"/>
  <c r="K79"/>
  <c r="K81"/>
  <c r="X83"/>
  <c r="G93"/>
  <c r="U94"/>
  <c r="U121"/>
  <c r="K127"/>
  <c r="O135"/>
  <c r="K154"/>
  <c r="K169"/>
  <c r="U235"/>
  <c r="U243"/>
  <c r="U248"/>
  <c r="K255"/>
  <c r="U257"/>
  <c r="N259"/>
  <c r="U260"/>
  <c r="N266"/>
  <c r="U272"/>
  <c r="AD104"/>
  <c r="AD119"/>
  <c r="AA151"/>
  <c r="Q237"/>
  <c r="M251"/>
  <c r="U275"/>
  <c r="AA55"/>
  <c r="N62"/>
  <c r="N55" s="1"/>
  <c r="U63"/>
  <c r="M68"/>
  <c r="U75"/>
  <c r="U79"/>
  <c r="U81"/>
  <c r="U85"/>
  <c r="K98"/>
  <c r="K102"/>
  <c r="U107"/>
  <c r="K141"/>
  <c r="Q161"/>
  <c r="Q151" s="1"/>
  <c r="U174"/>
  <c r="K189"/>
  <c r="U212"/>
  <c r="K223"/>
  <c r="K253"/>
  <c r="U255"/>
  <c r="N277"/>
  <c r="U283"/>
  <c r="R291" i="16"/>
  <c r="K158" i="18"/>
  <c r="K33"/>
  <c r="K43"/>
  <c r="K78"/>
  <c r="U102"/>
  <c r="AH151"/>
  <c r="U158"/>
  <c r="O197"/>
  <c r="X222"/>
  <c r="N244"/>
  <c r="AG237"/>
  <c r="AA251"/>
  <c r="K173"/>
  <c r="U35"/>
  <c r="K76"/>
  <c r="U126"/>
  <c r="X135"/>
  <c r="U143"/>
  <c r="U186"/>
  <c r="U198"/>
  <c r="U211"/>
  <c r="AA222"/>
  <c r="U258"/>
  <c r="U266"/>
  <c r="L45"/>
  <c r="U93"/>
  <c r="L14"/>
  <c r="K21"/>
  <c r="O24"/>
  <c r="N24" s="1"/>
  <c r="K39"/>
  <c r="U78"/>
  <c r="U92"/>
  <c r="M104"/>
  <c r="K115"/>
  <c r="O217"/>
  <c r="K113"/>
  <c r="U171"/>
  <c r="W55"/>
  <c r="AO56" s="1"/>
  <c r="AO57" s="1"/>
  <c r="M55"/>
  <c r="L68"/>
  <c r="AG104"/>
  <c r="K130"/>
  <c r="AG222"/>
  <c r="K143"/>
  <c r="G151"/>
  <c r="U47"/>
  <c r="AG68"/>
  <c r="K16"/>
  <c r="U50"/>
  <c r="K63"/>
  <c r="K55" s="1"/>
  <c r="U110"/>
  <c r="K114"/>
  <c r="K104" s="1"/>
  <c r="U123"/>
  <c r="U128"/>
  <c r="N139"/>
  <c r="AG135"/>
  <c r="U175"/>
  <c r="AG162"/>
  <c r="U224"/>
  <c r="K227"/>
  <c r="U232"/>
  <c r="AA241"/>
  <c r="AA237" s="1"/>
  <c r="U246"/>
  <c r="K248"/>
  <c r="K263"/>
  <c r="K272"/>
  <c r="U273"/>
  <c r="U69"/>
  <c r="W68"/>
  <c r="X68"/>
  <c r="O222"/>
  <c r="N233"/>
  <c r="K274"/>
  <c r="L251"/>
  <c r="O251"/>
  <c r="W162"/>
  <c r="AO163" s="1"/>
  <c r="AO164" s="1"/>
  <c r="S291" i="16"/>
  <c r="K201" i="18"/>
  <c r="L197"/>
  <c r="K15"/>
  <c r="N15"/>
  <c r="Q68"/>
  <c r="P68"/>
  <c r="N75"/>
  <c r="N68" s="1"/>
  <c r="AA88"/>
  <c r="AA83" s="1"/>
  <c r="AB83"/>
  <c r="V88"/>
  <c r="U88" s="1"/>
  <c r="AO120"/>
  <c r="AO121" s="1"/>
  <c r="V135"/>
  <c r="U136"/>
  <c r="R289" i="16"/>
  <c r="Y13" i="18"/>
  <c r="Y12" s="1"/>
  <c r="K77"/>
  <c r="K87"/>
  <c r="U111"/>
  <c r="W135"/>
  <c r="U141"/>
  <c r="V151"/>
  <c r="U154"/>
  <c r="U165"/>
  <c r="U207"/>
  <c r="W222"/>
  <c r="AO223" s="1"/>
  <c r="AO224" s="1"/>
  <c r="U223"/>
  <c r="U222" s="1"/>
  <c r="N229"/>
  <c r="N265"/>
  <c r="S10"/>
  <c r="S9" s="1"/>
  <c r="Q11"/>
  <c r="Q10" s="1"/>
  <c r="Q9" s="1"/>
  <c r="Q103"/>
  <c r="Q83" s="1"/>
  <c r="R83"/>
  <c r="R13" s="1"/>
  <c r="AG30"/>
  <c r="AG103"/>
  <c r="AG83" s="1"/>
  <c r="AH83"/>
  <c r="L222"/>
  <c r="G284"/>
  <c r="G289"/>
  <c r="K19"/>
  <c r="AK13"/>
  <c r="AK12" s="1"/>
  <c r="K37"/>
  <c r="U89"/>
  <c r="L119"/>
  <c r="U169"/>
  <c r="L180"/>
  <c r="U218"/>
  <c r="U217" s="1"/>
  <c r="V217"/>
  <c r="AN218" s="1"/>
  <c r="AN219" s="1"/>
  <c r="K221"/>
  <c r="M222"/>
  <c r="N239"/>
  <c r="U254"/>
  <c r="U271"/>
  <c r="L290"/>
  <c r="K290" s="1"/>
  <c r="K289" s="1"/>
  <c r="Q117"/>
  <c r="S104"/>
  <c r="K155"/>
  <c r="N166"/>
  <c r="N162" s="1"/>
  <c r="AG119"/>
  <c r="N135"/>
  <c r="Q162"/>
  <c r="M197"/>
  <c r="K200"/>
  <c r="W251"/>
  <c r="AO252" s="1"/>
  <c r="AO253" s="1"/>
  <c r="U252"/>
  <c r="X251"/>
  <c r="AD251"/>
  <c r="W45"/>
  <c r="Q290" i="16"/>
  <c r="AN69" i="18"/>
  <c r="AN71" s="1"/>
  <c r="U112"/>
  <c r="U115"/>
  <c r="M135"/>
  <c r="W151"/>
  <c r="X162"/>
  <c r="V162"/>
  <c r="AN163" s="1"/>
  <c r="AN164" s="1"/>
  <c r="U190"/>
  <c r="AG197"/>
  <c r="P222"/>
  <c r="P251"/>
  <c r="W30"/>
  <c r="AO31" s="1"/>
  <c r="AO32" s="1"/>
  <c r="U105"/>
  <c r="U104" s="1"/>
  <c r="AM105" s="1"/>
  <c r="AM106" s="1"/>
  <c r="V104"/>
  <c r="AN105" s="1"/>
  <c r="AN106" s="1"/>
  <c r="AO69"/>
  <c r="AO71" s="1"/>
  <c r="Q11" i="16"/>
  <c r="Q10" s="1"/>
  <c r="Q9" s="1"/>
  <c r="U37" i="18"/>
  <c r="K72"/>
  <c r="AG180"/>
  <c r="Q217"/>
  <c r="N291" i="16"/>
  <c r="N289" s="1"/>
  <c r="AK8" i="18"/>
  <c r="L55"/>
  <c r="K97"/>
  <c r="X104"/>
  <c r="G104"/>
  <c r="S119"/>
  <c r="Q133"/>
  <c r="Q119" s="1"/>
  <c r="M133"/>
  <c r="K133" s="1"/>
  <c r="Q135"/>
  <c r="X151"/>
  <c r="K159"/>
  <c r="G162"/>
  <c r="L162"/>
  <c r="AO218"/>
  <c r="AO219" s="1"/>
  <c r="Q222"/>
  <c r="Q251"/>
  <c r="K275"/>
  <c r="K18"/>
  <c r="AH14"/>
  <c r="AH13" s="1"/>
  <c r="Q45"/>
  <c r="G55"/>
  <c r="O104"/>
  <c r="K165"/>
  <c r="K168"/>
  <c r="N197"/>
  <c r="X217"/>
  <c r="U242"/>
  <c r="U237" s="1"/>
  <c r="AM238" s="1"/>
  <c r="AM239" s="1"/>
  <c r="X284"/>
  <c r="T13"/>
  <c r="V19"/>
  <c r="V14" s="1"/>
  <c r="AN15" s="1"/>
  <c r="AN16" s="1"/>
  <c r="K22"/>
  <c r="K36"/>
  <c r="U46"/>
  <c r="Q55"/>
  <c r="K59"/>
  <c r="K71"/>
  <c r="U72"/>
  <c r="U80"/>
  <c r="N108"/>
  <c r="N104" s="1"/>
  <c r="K116"/>
  <c r="G119"/>
  <c r="L135"/>
  <c r="U147"/>
  <c r="S151"/>
  <c r="U168"/>
  <c r="K176"/>
  <c r="U189"/>
  <c r="P197"/>
  <c r="K208"/>
  <c r="K214"/>
  <c r="K216"/>
  <c r="V222"/>
  <c r="AN223" s="1"/>
  <c r="AN224" s="1"/>
  <c r="U239"/>
  <c r="O237"/>
  <c r="K257"/>
  <c r="U278"/>
  <c r="V30"/>
  <c r="AN31" s="1"/>
  <c r="AN32" s="1"/>
  <c r="X30"/>
  <c r="AG45"/>
  <c r="U59"/>
  <c r="U86"/>
  <c r="U83" s="1"/>
  <c r="N110"/>
  <c r="V119"/>
  <c r="AN120" s="1"/>
  <c r="AN121" s="1"/>
  <c r="U122"/>
  <c r="K153"/>
  <c r="M162"/>
  <c r="G180"/>
  <c r="M180"/>
  <c r="AD180"/>
  <c r="Q197"/>
  <c r="AE13"/>
  <c r="W14"/>
  <c r="AO15" s="1"/>
  <c r="AO16" s="1"/>
  <c r="K17"/>
  <c r="U36"/>
  <c r="U30" s="1"/>
  <c r="AM31" s="1"/>
  <c r="AM32" s="1"/>
  <c r="K38"/>
  <c r="AD30"/>
  <c r="P45"/>
  <c r="U71"/>
  <c r="U77"/>
  <c r="W119"/>
  <c r="U127"/>
  <c r="AD135"/>
  <c r="K148"/>
  <c r="N156"/>
  <c r="N151" s="1"/>
  <c r="U159"/>
  <c r="U170"/>
  <c r="V180"/>
  <c r="AN181" s="1"/>
  <c r="AN182" s="1"/>
  <c r="U183"/>
  <c r="U185"/>
  <c r="U188"/>
  <c r="X197"/>
  <c r="U205"/>
  <c r="K213"/>
  <c r="U241"/>
  <c r="G251"/>
  <c r="AG251"/>
  <c r="H13"/>
  <c r="H12" s="1"/>
  <c r="H8" s="1"/>
  <c r="AF13"/>
  <c r="X14"/>
  <c r="AA18"/>
  <c r="M14"/>
  <c r="AG63"/>
  <c r="AG55" s="1"/>
  <c r="N83"/>
  <c r="X119"/>
  <c r="G135"/>
  <c r="AB151"/>
  <c r="L151"/>
  <c r="W180"/>
  <c r="AO181" s="1"/>
  <c r="AO182" s="1"/>
  <c r="G197"/>
  <c r="AD197"/>
  <c r="G222"/>
  <c r="AM223" s="1"/>
  <c r="AM224" s="1"/>
  <c r="W237"/>
  <c r="AO238" s="1"/>
  <c r="AO239" s="1"/>
  <c r="P237"/>
  <c r="Y8"/>
  <c r="AI13"/>
  <c r="G30"/>
  <c r="AA68"/>
  <c r="U74"/>
  <c r="AD68"/>
  <c r="K131"/>
  <c r="M151"/>
  <c r="U156"/>
  <c r="AG151"/>
  <c r="K177"/>
  <c r="X180"/>
  <c r="U200"/>
  <c r="K207"/>
  <c r="G237"/>
  <c r="X237"/>
  <c r="K254"/>
  <c r="S289"/>
  <c r="Z8"/>
  <c r="J13"/>
  <c r="J12" s="1"/>
  <c r="J8" s="1"/>
  <c r="K20"/>
  <c r="Z13"/>
  <c r="Z12" s="1"/>
  <c r="U58"/>
  <c r="U70"/>
  <c r="N109"/>
  <c r="U129"/>
  <c r="AN136"/>
  <c r="AN137" s="1"/>
  <c r="U142"/>
  <c r="K145"/>
  <c r="K160"/>
  <c r="O162"/>
  <c r="U192"/>
  <c r="K209"/>
  <c r="G217"/>
  <c r="AM218" s="1"/>
  <c r="AM219" s="1"/>
  <c r="K245"/>
  <c r="K237" s="1"/>
  <c r="V251"/>
  <c r="K269"/>
  <c r="U270"/>
  <c r="K290" i="16"/>
  <c r="K289" s="1"/>
  <c r="AN46" i="18"/>
  <c r="AN47" s="1"/>
  <c r="U45"/>
  <c r="G10"/>
  <c r="G9" s="1"/>
  <c r="AD14"/>
  <c r="U40"/>
  <c r="K35"/>
  <c r="AO136"/>
  <c r="AO137" s="1"/>
  <c r="AN152"/>
  <c r="AN153" s="1"/>
  <c r="AG24"/>
  <c r="AG14" s="1"/>
  <c r="L30"/>
  <c r="V45"/>
  <c r="AO152"/>
  <c r="AO153" s="1"/>
  <c r="AO46"/>
  <c r="AO47" s="1"/>
  <c r="AD55"/>
  <c r="N222"/>
  <c r="K31"/>
  <c r="K89"/>
  <c r="N23"/>
  <c r="N14" s="1"/>
  <c r="Q30"/>
  <c r="AA30"/>
  <c r="G45"/>
  <c r="N217"/>
  <c r="Q104"/>
  <c r="W197"/>
  <c r="AO198" s="1"/>
  <c r="AO199" s="1"/>
  <c r="U206"/>
  <c r="O30"/>
  <c r="N40"/>
  <c r="N30" s="1"/>
  <c r="X55"/>
  <c r="K50"/>
  <c r="K45" s="1"/>
  <c r="U106"/>
  <c r="W104"/>
  <c r="AO105" s="1"/>
  <c r="AO106" s="1"/>
  <c r="AA197"/>
  <c r="AN252"/>
  <c r="AN253" s="1"/>
  <c r="Q291"/>
  <c r="Q289" s="1"/>
  <c r="R289"/>
  <c r="Q14"/>
  <c r="X45"/>
  <c r="V55"/>
  <c r="AN56" s="1"/>
  <c r="AN57" s="1"/>
  <c r="N251"/>
  <c r="G91"/>
  <c r="AA106"/>
  <c r="AA104" s="1"/>
  <c r="K120"/>
  <c r="K138"/>
  <c r="K152"/>
  <c r="K151" s="1"/>
  <c r="I83"/>
  <c r="I13" s="1"/>
  <c r="I12" s="1"/>
  <c r="I8" s="1"/>
  <c r="N124"/>
  <c r="N119" s="1"/>
  <c r="K136"/>
  <c r="U138"/>
  <c r="K181"/>
  <c r="V237"/>
  <c r="AN238" s="1"/>
  <c r="AN239" s="1"/>
  <c r="K252"/>
  <c r="W83"/>
  <c r="G90"/>
  <c r="U120"/>
  <c r="U152"/>
  <c r="U151" s="1"/>
  <c r="AM152" s="1"/>
  <c r="U166"/>
  <c r="U162" s="1"/>
  <c r="AM163" s="1"/>
  <c r="AM164" s="1"/>
  <c r="U181"/>
  <c r="K224"/>
  <c r="K222" s="1"/>
  <c r="U56"/>
  <c r="U55" s="1"/>
  <c r="AM56" s="1"/>
  <c r="AM57" s="1"/>
  <c r="L83"/>
  <c r="M83"/>
  <c r="K163"/>
  <c r="K199"/>
  <c r="AB197"/>
  <c r="K218"/>
  <c r="K217" s="1"/>
  <c r="P104"/>
  <c r="AC104"/>
  <c r="AC197"/>
  <c r="V201"/>
  <c r="AB237"/>
  <c r="N240"/>
  <c r="U73"/>
  <c r="P83"/>
  <c r="L289"/>
  <c r="O151"/>
  <c r="U180" l="1"/>
  <c r="AM181" s="1"/>
  <c r="AM182" s="1"/>
  <c r="V83"/>
  <c r="AN84" s="1"/>
  <c r="AN85" s="1"/>
  <c r="AM46"/>
  <c r="AM47" s="1"/>
  <c r="K83"/>
  <c r="K68"/>
  <c r="AB13"/>
  <c r="AN70"/>
  <c r="U251"/>
  <c r="AM252" s="1"/>
  <c r="AM253" s="1"/>
  <c r="K119"/>
  <c r="K180"/>
  <c r="O14"/>
  <c r="O13" s="1"/>
  <c r="K251"/>
  <c r="U68"/>
  <c r="AM69" s="1"/>
  <c r="S13"/>
  <c r="K14"/>
  <c r="AM153"/>
  <c r="U119"/>
  <c r="AM120" s="1"/>
  <c r="AM121" s="1"/>
  <c r="X13"/>
  <c r="X12" s="1"/>
  <c r="X8" s="1"/>
  <c r="W13"/>
  <c r="K162"/>
  <c r="AO70"/>
  <c r="S289" i="16"/>
  <c r="Q291"/>
  <c r="Q289" s="1"/>
  <c r="Q13" i="18"/>
  <c r="P13"/>
  <c r="M119"/>
  <c r="M13" s="1"/>
  <c r="U135"/>
  <c r="AM136" s="1"/>
  <c r="AM137" s="1"/>
  <c r="AA14"/>
  <c r="AA13" s="1"/>
  <c r="U18"/>
  <c r="U14" s="1"/>
  <c r="N237"/>
  <c r="N13" s="1"/>
  <c r="K197"/>
  <c r="K135"/>
  <c r="AM70"/>
  <c r="AM71"/>
  <c r="U201"/>
  <c r="U197" s="1"/>
  <c r="AM198" s="1"/>
  <c r="AM199" s="1"/>
  <c r="V197"/>
  <c r="AN198" s="1"/>
  <c r="AN199" s="1"/>
  <c r="AO84"/>
  <c r="AO85" s="1"/>
  <c r="AC13"/>
  <c r="K30"/>
  <c r="L13"/>
  <c r="G83"/>
  <c r="AM84" s="1"/>
  <c r="AM85" s="1"/>
  <c r="AG13"/>
  <c r="AD13"/>
  <c r="AM22" l="1"/>
  <c r="AM23" s="1"/>
  <c r="AM15"/>
  <c r="AM16" s="1"/>
  <c r="K13"/>
  <c r="G13"/>
  <c r="G12" s="1"/>
  <c r="G8" s="1"/>
  <c r="U13"/>
  <c r="V13"/>
  <c r="J251" i="16" l="1"/>
  <c r="R251"/>
  <c r="S251"/>
  <c r="X283"/>
  <c r="W283"/>
  <c r="V283"/>
  <c r="U283" s="1"/>
  <c r="K283"/>
  <c r="G283"/>
  <c r="X282"/>
  <c r="W282"/>
  <c r="V282"/>
  <c r="K282"/>
  <c r="G282"/>
  <c r="X281"/>
  <c r="W281"/>
  <c r="V281"/>
  <c r="K281"/>
  <c r="G281"/>
  <c r="X280"/>
  <c r="W280"/>
  <c r="V280"/>
  <c r="K280"/>
  <c r="G280"/>
  <c r="X279"/>
  <c r="W279"/>
  <c r="V279"/>
  <c r="K279"/>
  <c r="G279"/>
  <c r="X278"/>
  <c r="W278"/>
  <c r="V278"/>
  <c r="K278"/>
  <c r="G278"/>
  <c r="AG277"/>
  <c r="X277"/>
  <c r="W277"/>
  <c r="V277"/>
  <c r="Q277"/>
  <c r="P277"/>
  <c r="O277"/>
  <c r="G277"/>
  <c r="AG276"/>
  <c r="X276"/>
  <c r="W276"/>
  <c r="V276"/>
  <c r="Q276"/>
  <c r="O276"/>
  <c r="N276" s="1"/>
  <c r="M276"/>
  <c r="K276" s="1"/>
  <c r="G276"/>
  <c r="AG275"/>
  <c r="X275"/>
  <c r="W275"/>
  <c r="V275"/>
  <c r="Q275"/>
  <c r="G275"/>
  <c r="AG274"/>
  <c r="X274"/>
  <c r="W274"/>
  <c r="V274"/>
  <c r="Q274"/>
  <c r="M274"/>
  <c r="L274"/>
  <c r="G274"/>
  <c r="AG273"/>
  <c r="X273"/>
  <c r="W273"/>
  <c r="V273"/>
  <c r="Q273"/>
  <c r="O273"/>
  <c r="N273" s="1"/>
  <c r="M273"/>
  <c r="K273" s="1"/>
  <c r="G273"/>
  <c r="AG272"/>
  <c r="X272"/>
  <c r="W272"/>
  <c r="V272"/>
  <c r="Q272"/>
  <c r="G272"/>
  <c r="AG271"/>
  <c r="X271"/>
  <c r="W271"/>
  <c r="V271"/>
  <c r="Q271"/>
  <c r="G271"/>
  <c r="AG270"/>
  <c r="X270"/>
  <c r="W270"/>
  <c r="V270"/>
  <c r="U270" s="1"/>
  <c r="Q270"/>
  <c r="P270"/>
  <c r="O270"/>
  <c r="G270"/>
  <c r="AG269"/>
  <c r="X269"/>
  <c r="W269"/>
  <c r="V269"/>
  <c r="Q269"/>
  <c r="M269"/>
  <c r="L269"/>
  <c r="G269"/>
  <c r="AD268"/>
  <c r="X268"/>
  <c r="W268"/>
  <c r="V268"/>
  <c r="Q268"/>
  <c r="P268"/>
  <c r="O268"/>
  <c r="N268" s="1"/>
  <c r="G268"/>
  <c r="AD267"/>
  <c r="X267"/>
  <c r="W267"/>
  <c r="V267"/>
  <c r="Q267"/>
  <c r="P267"/>
  <c r="O267"/>
  <c r="N267" s="1"/>
  <c r="G267"/>
  <c r="AD266"/>
  <c r="X266"/>
  <c r="W266"/>
  <c r="V266"/>
  <c r="Q266"/>
  <c r="P266"/>
  <c r="O266"/>
  <c r="G266"/>
  <c r="AD265"/>
  <c r="X265"/>
  <c r="W265"/>
  <c r="V265"/>
  <c r="Q265"/>
  <c r="P265"/>
  <c r="O265"/>
  <c r="N265" s="1"/>
  <c r="G265"/>
  <c r="AA264"/>
  <c r="X264"/>
  <c r="W264"/>
  <c r="V264"/>
  <c r="U264" s="1"/>
  <c r="Q264"/>
  <c r="P264"/>
  <c r="O264"/>
  <c r="N264" s="1"/>
  <c r="G264"/>
  <c r="AA263"/>
  <c r="X263"/>
  <c r="W263"/>
  <c r="V263"/>
  <c r="Q263"/>
  <c r="M263"/>
  <c r="L263"/>
  <c r="G263"/>
  <c r="AA262"/>
  <c r="X262"/>
  <c r="W262"/>
  <c r="V262"/>
  <c r="Q262"/>
  <c r="M262"/>
  <c r="L262"/>
  <c r="K262" s="1"/>
  <c r="G262"/>
  <c r="AA261"/>
  <c r="X261"/>
  <c r="W261"/>
  <c r="V261"/>
  <c r="Q261"/>
  <c r="P261"/>
  <c r="O261"/>
  <c r="N261" s="1"/>
  <c r="G261"/>
  <c r="AD260"/>
  <c r="X260"/>
  <c r="W260"/>
  <c r="V260"/>
  <c r="Q260"/>
  <c r="P260"/>
  <c r="O260"/>
  <c r="G260"/>
  <c r="AA259"/>
  <c r="X259"/>
  <c r="W259"/>
  <c r="V259"/>
  <c r="Q259"/>
  <c r="P259"/>
  <c r="O259"/>
  <c r="G259"/>
  <c r="AA258"/>
  <c r="X258"/>
  <c r="W258"/>
  <c r="V258"/>
  <c r="U258" s="1"/>
  <c r="Q258"/>
  <c r="P258"/>
  <c r="O258"/>
  <c r="G258"/>
  <c r="X257"/>
  <c r="W257"/>
  <c r="V257"/>
  <c r="U257" s="1"/>
  <c r="Q257"/>
  <c r="G257"/>
  <c r="X256"/>
  <c r="W256"/>
  <c r="V256"/>
  <c r="U256" s="1"/>
  <c r="Q256"/>
  <c r="G256"/>
  <c r="X255"/>
  <c r="W255"/>
  <c r="V255"/>
  <c r="Q255"/>
  <c r="G255"/>
  <c r="X254"/>
  <c r="W254"/>
  <c r="V254"/>
  <c r="Q254"/>
  <c r="G254"/>
  <c r="X253"/>
  <c r="W253"/>
  <c r="V253"/>
  <c r="Q253"/>
  <c r="G253"/>
  <c r="A253"/>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X252"/>
  <c r="W252"/>
  <c r="V252"/>
  <c r="Q252"/>
  <c r="G252"/>
  <c r="X250"/>
  <c r="W250"/>
  <c r="V250"/>
  <c r="U250" s="1"/>
  <c r="K250"/>
  <c r="G250"/>
  <c r="AG249"/>
  <c r="X249"/>
  <c r="W249"/>
  <c r="V249"/>
  <c r="Q249"/>
  <c r="M249"/>
  <c r="L249"/>
  <c r="K249" s="1"/>
  <c r="G249"/>
  <c r="AG248"/>
  <c r="X248"/>
  <c r="W248"/>
  <c r="V248"/>
  <c r="Q248"/>
  <c r="G248"/>
  <c r="AG247"/>
  <c r="X247"/>
  <c r="W247"/>
  <c r="V247"/>
  <c r="Q247"/>
  <c r="P247"/>
  <c r="O247"/>
  <c r="G247"/>
  <c r="AG246"/>
  <c r="X246"/>
  <c r="W246"/>
  <c r="V246"/>
  <c r="Q246"/>
  <c r="G246"/>
  <c r="AG245"/>
  <c r="X245"/>
  <c r="W245"/>
  <c r="V245"/>
  <c r="Q245"/>
  <c r="G245"/>
  <c r="AD244"/>
  <c r="X244"/>
  <c r="W244"/>
  <c r="V244"/>
  <c r="P244"/>
  <c r="O244"/>
  <c r="G244"/>
  <c r="AD243"/>
  <c r="X243"/>
  <c r="W243"/>
  <c r="V243"/>
  <c r="P243"/>
  <c r="N243" s="1"/>
  <c r="L243"/>
  <c r="K243" s="1"/>
  <c r="G243"/>
  <c r="AB242"/>
  <c r="AA242" s="1"/>
  <c r="X242"/>
  <c r="W242"/>
  <c r="L242"/>
  <c r="K242" s="1"/>
  <c r="G242"/>
  <c r="AB241"/>
  <c r="AA241" s="1"/>
  <c r="X241"/>
  <c r="W241"/>
  <c r="V241"/>
  <c r="U241"/>
  <c r="L241"/>
  <c r="K241" s="1"/>
  <c r="G241"/>
  <c r="AA240"/>
  <c r="X240"/>
  <c r="W240"/>
  <c r="V240"/>
  <c r="P240"/>
  <c r="O240"/>
  <c r="G240"/>
  <c r="AA239"/>
  <c r="X239"/>
  <c r="W239"/>
  <c r="V239"/>
  <c r="P239"/>
  <c r="O239"/>
  <c r="G239"/>
  <c r="A239"/>
  <c r="A240" s="1"/>
  <c r="A241" s="1"/>
  <c r="A242" s="1"/>
  <c r="A243" s="1"/>
  <c r="A244" s="1"/>
  <c r="A245" s="1"/>
  <c r="A246" s="1"/>
  <c r="A247" s="1"/>
  <c r="A248" s="1"/>
  <c r="A249" s="1"/>
  <c r="A250" s="1"/>
  <c r="X238"/>
  <c r="W238"/>
  <c r="V238"/>
  <c r="G238"/>
  <c r="K238" s="1"/>
  <c r="U244" l="1"/>
  <c r="U246"/>
  <c r="K248"/>
  <c r="U276"/>
  <c r="U248"/>
  <c r="U275"/>
  <c r="U238"/>
  <c r="K252"/>
  <c r="U254"/>
  <c r="U247"/>
  <c r="V242"/>
  <c r="U242" s="1"/>
  <c r="U263"/>
  <c r="U266"/>
  <c r="U269"/>
  <c r="K271"/>
  <c r="U274"/>
  <c r="N270"/>
  <c r="U271"/>
  <c r="U259"/>
  <c r="U268"/>
  <c r="P251"/>
  <c r="N244"/>
  <c r="K246"/>
  <c r="U249"/>
  <c r="U277"/>
  <c r="U245"/>
  <c r="U262"/>
  <c r="U265"/>
  <c r="Q251"/>
  <c r="U280"/>
  <c r="U278"/>
  <c r="U261"/>
  <c r="K255"/>
  <c r="U272"/>
  <c r="N259"/>
  <c r="K269"/>
  <c r="K274"/>
  <c r="U281"/>
  <c r="N240"/>
  <c r="M251"/>
  <c r="U240"/>
  <c r="U243"/>
  <c r="N247"/>
  <c r="K256"/>
  <c r="N258"/>
  <c r="N239"/>
  <c r="K245"/>
  <c r="U239"/>
  <c r="K254"/>
  <c r="N277"/>
  <c r="U252"/>
  <c r="K257"/>
  <c r="U279"/>
  <c r="O251"/>
  <c r="N260"/>
  <c r="K263"/>
  <c r="K253"/>
  <c r="U273"/>
  <c r="L251"/>
  <c r="U255"/>
  <c r="U260"/>
  <c r="K275"/>
  <c r="U282"/>
  <c r="U253"/>
  <c r="N266"/>
  <c r="U267"/>
  <c r="K272"/>
  <c r="K251" l="1"/>
  <c r="N251"/>
  <c r="H237"/>
  <c r="I237"/>
  <c r="J237"/>
  <c r="K237"/>
  <c r="L237"/>
  <c r="M237"/>
  <c r="N237"/>
  <c r="O237"/>
  <c r="P237"/>
  <c r="Q237"/>
  <c r="R237"/>
  <c r="S237"/>
  <c r="O232"/>
  <c r="N232" s="1"/>
  <c r="M227"/>
  <c r="M231"/>
  <c r="M232"/>
  <c r="K232" s="1"/>
  <c r="M233"/>
  <c r="K233" s="1"/>
  <c r="M234"/>
  <c r="K234" s="1"/>
  <c r="L226"/>
  <c r="K226" s="1"/>
  <c r="L227"/>
  <c r="L228"/>
  <c r="K228" s="1"/>
  <c r="L230"/>
  <c r="K230" s="1"/>
  <c r="L231"/>
  <c r="L225"/>
  <c r="P228"/>
  <c r="N228" s="1"/>
  <c r="O233"/>
  <c r="N233" s="1"/>
  <c r="O234"/>
  <c r="N234" s="1"/>
  <c r="P230"/>
  <c r="N230" s="1"/>
  <c r="P226"/>
  <c r="N226" s="1"/>
  <c r="K225"/>
  <c r="P225"/>
  <c r="N225" s="1"/>
  <c r="P229"/>
  <c r="O229"/>
  <c r="N236"/>
  <c r="P235"/>
  <c r="O235"/>
  <c r="Q236"/>
  <c r="Q235"/>
  <c r="Q234"/>
  <c r="Q233"/>
  <c r="Q232"/>
  <c r="Q231"/>
  <c r="H222"/>
  <c r="I222"/>
  <c r="J222"/>
  <c r="R222"/>
  <c r="S222"/>
  <c r="T222"/>
  <c r="Q230"/>
  <c r="Q224"/>
  <c r="Q225"/>
  <c r="Q226"/>
  <c r="Q227"/>
  <c r="Q228"/>
  <c r="Q229"/>
  <c r="Q223"/>
  <c r="A224"/>
  <c r="A225" s="1"/>
  <c r="A226" s="1"/>
  <c r="A227" s="1"/>
  <c r="A228" s="1"/>
  <c r="A229" s="1"/>
  <c r="A231" s="1"/>
  <c r="A232" s="1"/>
  <c r="A230" s="1"/>
  <c r="A233" s="1"/>
  <c r="A234" s="1"/>
  <c r="A235" s="1"/>
  <c r="A236" s="1"/>
  <c r="K231" l="1"/>
  <c r="N235"/>
  <c r="N229"/>
  <c r="Q222"/>
  <c r="O222"/>
  <c r="P222"/>
  <c r="M222"/>
  <c r="K227"/>
  <c r="L222"/>
  <c r="N222"/>
  <c r="M221" l="1"/>
  <c r="K221" s="1"/>
  <c r="O221"/>
  <c r="N221" s="1"/>
  <c r="P219"/>
  <c r="O219"/>
  <c r="P220"/>
  <c r="P217" s="1"/>
  <c r="L220"/>
  <c r="L217" s="1"/>
  <c r="M217"/>
  <c r="R217"/>
  <c r="S217"/>
  <c r="T217"/>
  <c r="Q221"/>
  <c r="Q219"/>
  <c r="Q220"/>
  <c r="Q218"/>
  <c r="A219"/>
  <c r="A220" s="1"/>
  <c r="A221" s="1"/>
  <c r="Q209"/>
  <c r="V209"/>
  <c r="W209"/>
  <c r="AK209"/>
  <c r="AL209"/>
  <c r="O197"/>
  <c r="T197"/>
  <c r="P203"/>
  <c r="N203" s="1"/>
  <c r="N206"/>
  <c r="L206"/>
  <c r="K206" s="1"/>
  <c r="P206"/>
  <c r="M211"/>
  <c r="K211" s="1"/>
  <c r="O211"/>
  <c r="L203"/>
  <c r="K203" s="1"/>
  <c r="M201"/>
  <c r="L201"/>
  <c r="M200"/>
  <c r="L200"/>
  <c r="K200" s="1"/>
  <c r="Q199"/>
  <c r="Q200"/>
  <c r="Q201"/>
  <c r="Q202"/>
  <c r="Q203"/>
  <c r="Q204"/>
  <c r="Q205"/>
  <c r="Q206"/>
  <c r="Q207"/>
  <c r="Q208"/>
  <c r="Q210"/>
  <c r="Q211"/>
  <c r="Q212"/>
  <c r="Q213"/>
  <c r="Q214"/>
  <c r="Q215"/>
  <c r="Q216"/>
  <c r="Q198"/>
  <c r="N219" l="1"/>
  <c r="K201"/>
  <c r="Q217"/>
  <c r="N220"/>
  <c r="N217"/>
  <c r="K220"/>
  <c r="O217"/>
  <c r="U209"/>
  <c r="P197"/>
  <c r="N211"/>
  <c r="N197" s="1"/>
  <c r="A182" l="1"/>
  <c r="A183" s="1"/>
  <c r="A184" s="1"/>
  <c r="A185" s="1"/>
  <c r="A186" s="1"/>
  <c r="A187" s="1"/>
  <c r="A188" s="1"/>
  <c r="A189" s="1"/>
  <c r="A190" s="1"/>
  <c r="A191" s="1"/>
  <c r="A192" s="1"/>
  <c r="A193" s="1"/>
  <c r="A194" s="1"/>
  <c r="A195" s="1"/>
  <c r="A196" s="1"/>
  <c r="P188"/>
  <c r="N188" s="1"/>
  <c r="P187"/>
  <c r="N187" s="1"/>
  <c r="L186"/>
  <c r="M186"/>
  <c r="L187"/>
  <c r="K187" s="1"/>
  <c r="L188"/>
  <c r="K188" s="1"/>
  <c r="L189"/>
  <c r="M189"/>
  <c r="M185"/>
  <c r="M180" s="1"/>
  <c r="L185"/>
  <c r="H180"/>
  <c r="I180"/>
  <c r="J180"/>
  <c r="O180"/>
  <c r="Q180"/>
  <c r="R180"/>
  <c r="S180"/>
  <c r="T180"/>
  <c r="M175"/>
  <c r="L175"/>
  <c r="K175" s="1"/>
  <c r="P174"/>
  <c r="O174"/>
  <c r="M172"/>
  <c r="L172"/>
  <c r="P171"/>
  <c r="O171"/>
  <c r="N171" s="1"/>
  <c r="M170"/>
  <c r="L170"/>
  <c r="M169"/>
  <c r="L169"/>
  <c r="K169" s="1"/>
  <c r="M168"/>
  <c r="L168"/>
  <c r="M167"/>
  <c r="L167"/>
  <c r="P166"/>
  <c r="O166"/>
  <c r="M165"/>
  <c r="L165"/>
  <c r="K165" s="1"/>
  <c r="O179"/>
  <c r="N179" s="1"/>
  <c r="N178"/>
  <c r="A164"/>
  <c r="A165" s="1"/>
  <c r="A166" s="1"/>
  <c r="A167" s="1"/>
  <c r="A168" s="1"/>
  <c r="A169" s="1"/>
  <c r="A170" s="1"/>
  <c r="A171" s="1"/>
  <c r="A172" s="1"/>
  <c r="A173" s="1"/>
  <c r="A174" s="1"/>
  <c r="A175" s="1"/>
  <c r="A176" s="1"/>
  <c r="A177" s="1"/>
  <c r="A178" s="1"/>
  <c r="A179" s="1"/>
  <c r="H162"/>
  <c r="I162"/>
  <c r="J162"/>
  <c r="S162"/>
  <c r="T162"/>
  <c r="Q177"/>
  <c r="R179"/>
  <c r="Q179" s="1"/>
  <c r="Q178"/>
  <c r="Q176"/>
  <c r="Q175"/>
  <c r="Q174"/>
  <c r="Q173"/>
  <c r="Q162" l="1"/>
  <c r="K172"/>
  <c r="N166"/>
  <c r="K167"/>
  <c r="L162"/>
  <c r="N174"/>
  <c r="N162" s="1"/>
  <c r="N180"/>
  <c r="K168"/>
  <c r="K185"/>
  <c r="K186"/>
  <c r="K189"/>
  <c r="P180"/>
  <c r="L180"/>
  <c r="M162"/>
  <c r="K170"/>
  <c r="P162"/>
  <c r="O162"/>
  <c r="R162"/>
  <c r="P156" l="1"/>
  <c r="N156" s="1"/>
  <c r="L153"/>
  <c r="M153"/>
  <c r="L154"/>
  <c r="M154"/>
  <c r="L155"/>
  <c r="M155"/>
  <c r="L156"/>
  <c r="K156" s="1"/>
  <c r="L157"/>
  <c r="M157"/>
  <c r="L158"/>
  <c r="M158"/>
  <c r="M152"/>
  <c r="L152"/>
  <c r="P161"/>
  <c r="O161"/>
  <c r="N161" s="1"/>
  <c r="H151"/>
  <c r="I151"/>
  <c r="J151"/>
  <c r="O151"/>
  <c r="P151"/>
  <c r="T151"/>
  <c r="A153"/>
  <c r="A154" s="1"/>
  <c r="A155" s="1"/>
  <c r="A156" s="1"/>
  <c r="A157" s="1"/>
  <c r="A158" s="1"/>
  <c r="A159" s="1"/>
  <c r="A160" s="1"/>
  <c r="A161" s="1"/>
  <c r="S161"/>
  <c r="S151" s="1"/>
  <c r="R161"/>
  <c r="Q160"/>
  <c r="Q159"/>
  <c r="P139"/>
  <c r="N139" s="1"/>
  <c r="L139"/>
  <c r="K139" s="1"/>
  <c r="P140"/>
  <c r="L140"/>
  <c r="K140" s="1"/>
  <c r="M143"/>
  <c r="L143"/>
  <c r="M145"/>
  <c r="L145"/>
  <c r="K145" s="1"/>
  <c r="P144"/>
  <c r="O144"/>
  <c r="O146"/>
  <c r="N146" s="1"/>
  <c r="N150"/>
  <c r="Q137"/>
  <c r="Q138"/>
  <c r="Q139"/>
  <c r="Q140"/>
  <c r="Q141"/>
  <c r="Q142"/>
  <c r="Q143"/>
  <c r="Q144"/>
  <c r="Q145"/>
  <c r="Q146"/>
  <c r="Q147"/>
  <c r="Q148"/>
  <c r="Q149"/>
  <c r="Q150"/>
  <c r="Q136"/>
  <c r="A137"/>
  <c r="A138" s="1"/>
  <c r="A139" s="1"/>
  <c r="A140" s="1"/>
  <c r="A141" s="1"/>
  <c r="A142" s="1"/>
  <c r="A143" s="1"/>
  <c r="A144" s="1"/>
  <c r="A145" s="1"/>
  <c r="A146" s="1"/>
  <c r="A147" s="1"/>
  <c r="A148" s="1"/>
  <c r="A149" s="1"/>
  <c r="A150" s="1"/>
  <c r="H135"/>
  <c r="I135"/>
  <c r="J135"/>
  <c r="R135"/>
  <c r="S135"/>
  <c r="T135"/>
  <c r="A121"/>
  <c r="A122" s="1"/>
  <c r="A123" s="1"/>
  <c r="A124" s="1"/>
  <c r="A125" s="1"/>
  <c r="A126" s="1"/>
  <c r="A127" s="1"/>
  <c r="A128" s="1"/>
  <c r="A129" s="1"/>
  <c r="A130" s="1"/>
  <c r="A131" s="1"/>
  <c r="A132" s="1"/>
  <c r="A133" s="1"/>
  <c r="A134" s="1"/>
  <c r="P124"/>
  <c r="O124"/>
  <c r="O119" s="1"/>
  <c r="P128"/>
  <c r="N128" s="1"/>
  <c r="P126"/>
  <c r="N134"/>
  <c r="L133"/>
  <c r="M129"/>
  <c r="L129"/>
  <c r="K129" s="1"/>
  <c r="L128"/>
  <c r="K128" s="1"/>
  <c r="M127"/>
  <c r="L127"/>
  <c r="L126"/>
  <c r="K126" s="1"/>
  <c r="M120"/>
  <c r="L120"/>
  <c r="K120" s="1"/>
  <c r="Q134"/>
  <c r="S133"/>
  <c r="Q133" s="1"/>
  <c r="Q132"/>
  <c r="Q131"/>
  <c r="Q130"/>
  <c r="H119"/>
  <c r="I119"/>
  <c r="J119"/>
  <c r="R119"/>
  <c r="T119"/>
  <c r="AG132"/>
  <c r="X132"/>
  <c r="W132"/>
  <c r="V132"/>
  <c r="G132"/>
  <c r="AG131"/>
  <c r="X131"/>
  <c r="W131"/>
  <c r="V131"/>
  <c r="G131"/>
  <c r="AG130"/>
  <c r="X130"/>
  <c r="W130"/>
  <c r="V130"/>
  <c r="U130" s="1"/>
  <c r="G130"/>
  <c r="K143" l="1"/>
  <c r="K127"/>
  <c r="N144"/>
  <c r="Q161"/>
  <c r="U132"/>
  <c r="K153"/>
  <c r="K131"/>
  <c r="M133"/>
  <c r="K133" s="1"/>
  <c r="Q151"/>
  <c r="N151"/>
  <c r="P135"/>
  <c r="R151"/>
  <c r="K157"/>
  <c r="K152"/>
  <c r="M151"/>
  <c r="L151"/>
  <c r="K154"/>
  <c r="K158"/>
  <c r="K155"/>
  <c r="N140"/>
  <c r="N135"/>
  <c r="L135"/>
  <c r="M135"/>
  <c r="O135"/>
  <c r="Q135"/>
  <c r="S119"/>
  <c r="U131"/>
  <c r="K132"/>
  <c r="L119"/>
  <c r="N124"/>
  <c r="K130"/>
  <c r="N126"/>
  <c r="P119"/>
  <c r="M119"/>
  <c r="Q119"/>
  <c r="N119" l="1"/>
  <c r="G133" l="1"/>
  <c r="P117"/>
  <c r="N117" s="1"/>
  <c r="S117"/>
  <c r="Q117" s="1"/>
  <c r="H104"/>
  <c r="I104"/>
  <c r="J104"/>
  <c r="R104"/>
  <c r="S104"/>
  <c r="N118"/>
  <c r="M114"/>
  <c r="L114"/>
  <c r="L112"/>
  <c r="M112"/>
  <c r="M111"/>
  <c r="L111"/>
  <c r="O109"/>
  <c r="P109"/>
  <c r="O110"/>
  <c r="P110"/>
  <c r="P108"/>
  <c r="O108"/>
  <c r="M106"/>
  <c r="K106" s="1"/>
  <c r="Q118"/>
  <c r="Q116"/>
  <c r="Q115"/>
  <c r="Q114"/>
  <c r="Q113"/>
  <c r="A106"/>
  <c r="A107" s="1"/>
  <c r="A108" s="1"/>
  <c r="A109" s="1"/>
  <c r="A110" s="1"/>
  <c r="A111" s="1"/>
  <c r="A112" s="1"/>
  <c r="A113" s="1"/>
  <c r="A114" s="1"/>
  <c r="A115" s="1"/>
  <c r="A116" s="1"/>
  <c r="A117" s="1"/>
  <c r="A118" s="1"/>
  <c r="N108" l="1"/>
  <c r="M104"/>
  <c r="L104"/>
  <c r="N109"/>
  <c r="N110"/>
  <c r="O104"/>
  <c r="Q104"/>
  <c r="N104"/>
  <c r="P104"/>
  <c r="O103" l="1"/>
  <c r="N103" s="1"/>
  <c r="R103"/>
  <c r="Q103"/>
  <c r="AH103"/>
  <c r="P88"/>
  <c r="N88" s="1"/>
  <c r="P94"/>
  <c r="N94" s="1"/>
  <c r="P95"/>
  <c r="N95" s="1"/>
  <c r="P92"/>
  <c r="N92" s="1"/>
  <c r="L92"/>
  <c r="K92" s="1"/>
  <c r="L93"/>
  <c r="K93" s="1"/>
  <c r="L94"/>
  <c r="K94" s="1"/>
  <c r="L95"/>
  <c r="K95" s="1"/>
  <c r="L88"/>
  <c r="K88" s="1"/>
  <c r="L89"/>
  <c r="L90"/>
  <c r="L91"/>
  <c r="L87"/>
  <c r="S102"/>
  <c r="Q102" s="1"/>
  <c r="Q101"/>
  <c r="Q100"/>
  <c r="Q99"/>
  <c r="Q98"/>
  <c r="Q97"/>
  <c r="Q96"/>
  <c r="H83"/>
  <c r="J83"/>
  <c r="R83"/>
  <c r="H68"/>
  <c r="I68"/>
  <c r="J68"/>
  <c r="O68"/>
  <c r="R68"/>
  <c r="S68"/>
  <c r="T68"/>
  <c r="N82"/>
  <c r="P75"/>
  <c r="P68" s="1"/>
  <c r="L72"/>
  <c r="M72"/>
  <c r="L73"/>
  <c r="M73"/>
  <c r="L74"/>
  <c r="M74"/>
  <c r="L75"/>
  <c r="K75" s="1"/>
  <c r="M71"/>
  <c r="L71"/>
  <c r="K71" s="1"/>
  <c r="Q82"/>
  <c r="Q81"/>
  <c r="Q80"/>
  <c r="Q79"/>
  <c r="Q70"/>
  <c r="Q71"/>
  <c r="Q72"/>
  <c r="Q73"/>
  <c r="Q74"/>
  <c r="Q75"/>
  <c r="Q76"/>
  <c r="Q77"/>
  <c r="Q78"/>
  <c r="Q69"/>
  <c r="K72" l="1"/>
  <c r="Q83"/>
  <c r="K73"/>
  <c r="M68"/>
  <c r="K74"/>
  <c r="Q68"/>
  <c r="S83"/>
  <c r="O83"/>
  <c r="L83"/>
  <c r="L68"/>
  <c r="N75"/>
  <c r="N68" s="1"/>
  <c r="A57" l="1"/>
  <c r="A58" s="1"/>
  <c r="A59" s="1"/>
  <c r="A60" s="1"/>
  <c r="A61" s="1"/>
  <c r="A62" s="1"/>
  <c r="A63" s="1"/>
  <c r="A64" s="1"/>
  <c r="A65" s="1"/>
  <c r="A66" s="1"/>
  <c r="A67" s="1"/>
  <c r="V63"/>
  <c r="W63"/>
  <c r="P62"/>
  <c r="N62" s="1"/>
  <c r="P61"/>
  <c r="N61" s="1"/>
  <c r="N67"/>
  <c r="N66"/>
  <c r="N65"/>
  <c r="N64"/>
  <c r="N63"/>
  <c r="L60"/>
  <c r="M60"/>
  <c r="L61"/>
  <c r="L62"/>
  <c r="L63"/>
  <c r="M63"/>
  <c r="U63" l="1"/>
  <c r="K60" l="1"/>
  <c r="M59"/>
  <c r="M55" s="1"/>
  <c r="L59"/>
  <c r="Q63"/>
  <c r="Q67"/>
  <c r="Q66"/>
  <c r="Q65"/>
  <c r="Q64"/>
  <c r="Q57"/>
  <c r="Q58"/>
  <c r="Q59"/>
  <c r="Q60"/>
  <c r="Q61"/>
  <c r="Q62"/>
  <c r="Q56"/>
  <c r="H55"/>
  <c r="I55"/>
  <c r="J55"/>
  <c r="N55"/>
  <c r="O55"/>
  <c r="P55"/>
  <c r="R55"/>
  <c r="S55"/>
  <c r="T55"/>
  <c r="K61" l="1"/>
  <c r="K62"/>
  <c r="K59"/>
  <c r="K63"/>
  <c r="L55"/>
  <c r="Q55"/>
  <c r="K55" l="1"/>
  <c r="A47" l="1"/>
  <c r="A48" s="1"/>
  <c r="A49" s="1"/>
  <c r="A50" s="1"/>
  <c r="A51" s="1"/>
  <c r="A52" s="1"/>
  <c r="A53" s="1"/>
  <c r="A54" s="1"/>
  <c r="N54"/>
  <c r="N52"/>
  <c r="N53"/>
  <c r="H45"/>
  <c r="I45"/>
  <c r="J45"/>
  <c r="M45"/>
  <c r="O45"/>
  <c r="R45"/>
  <c r="S45"/>
  <c r="P51"/>
  <c r="P45" s="1"/>
  <c r="L51"/>
  <c r="K51" s="1"/>
  <c r="M50"/>
  <c r="L50"/>
  <c r="Q47"/>
  <c r="Q48"/>
  <c r="Q49"/>
  <c r="Q50"/>
  <c r="Q51"/>
  <c r="Q46"/>
  <c r="Q54"/>
  <c r="Q53"/>
  <c r="Q52"/>
  <c r="L45" l="1"/>
  <c r="Q45"/>
  <c r="N51"/>
  <c r="N45" s="1"/>
  <c r="K50"/>
  <c r="K45" s="1"/>
  <c r="P41" l="1"/>
  <c r="N41" s="1"/>
  <c r="P40"/>
  <c r="O40"/>
  <c r="L41"/>
  <c r="L38"/>
  <c r="M38"/>
  <c r="L39"/>
  <c r="M39"/>
  <c r="M37"/>
  <c r="L37"/>
  <c r="P42"/>
  <c r="O42"/>
  <c r="Q44"/>
  <c r="Q43"/>
  <c r="Q42"/>
  <c r="Q32"/>
  <c r="Q33"/>
  <c r="Q34"/>
  <c r="Q35"/>
  <c r="Q36"/>
  <c r="Q37"/>
  <c r="Q38"/>
  <c r="Q39"/>
  <c r="Q40"/>
  <c r="Q41"/>
  <c r="Q31"/>
  <c r="R30"/>
  <c r="S30"/>
  <c r="T30"/>
  <c r="O25"/>
  <c r="N25" s="1"/>
  <c r="O29"/>
  <c r="N29"/>
  <c r="O24"/>
  <c r="N24" s="1"/>
  <c r="R29"/>
  <c r="Q29" s="1"/>
  <c r="Q28"/>
  <c r="Q27"/>
  <c r="Q26"/>
  <c r="Q25"/>
  <c r="R24"/>
  <c r="Q24" s="1"/>
  <c r="AH29"/>
  <c r="AG29" s="1"/>
  <c r="AG28"/>
  <c r="AG27"/>
  <c r="AG26"/>
  <c r="AG25"/>
  <c r="AH24"/>
  <c r="AG24"/>
  <c r="X29" i="1"/>
  <c r="X24"/>
  <c r="K38" i="16" l="1"/>
  <c r="M30"/>
  <c r="L30"/>
  <c r="K39"/>
  <c r="K37"/>
  <c r="N40"/>
  <c r="P30"/>
  <c r="K41"/>
  <c r="N42"/>
  <c r="O30"/>
  <c r="Q30"/>
  <c r="N30" l="1"/>
  <c r="X290" l="1"/>
  <c r="X284" s="1"/>
  <c r="G290"/>
  <c r="G289" s="1"/>
  <c r="AK289"/>
  <c r="Z289"/>
  <c r="Y289"/>
  <c r="X288"/>
  <c r="G288"/>
  <c r="X287"/>
  <c r="G287"/>
  <c r="X286"/>
  <c r="G286"/>
  <c r="X285"/>
  <c r="G285"/>
  <c r="AK284"/>
  <c r="Z284"/>
  <c r="Y284"/>
  <c r="J284"/>
  <c r="I284"/>
  <c r="H284"/>
  <c r="AK251"/>
  <c r="AI251"/>
  <c r="AH251"/>
  <c r="AF251"/>
  <c r="AE251"/>
  <c r="AC251"/>
  <c r="AB251"/>
  <c r="Z251"/>
  <c r="Y251"/>
  <c r="I251"/>
  <c r="H251"/>
  <c r="AD237"/>
  <c r="AK237"/>
  <c r="AI237"/>
  <c r="AH237"/>
  <c r="AF237"/>
  <c r="AE237"/>
  <c r="AC237"/>
  <c r="Z237"/>
  <c r="Y237"/>
  <c r="AG236"/>
  <c r="AG235"/>
  <c r="X235"/>
  <c r="W235"/>
  <c r="V235"/>
  <c r="G235"/>
  <c r="AG234"/>
  <c r="X234"/>
  <c r="W234"/>
  <c r="V234"/>
  <c r="G234"/>
  <c r="AG233"/>
  <c r="X233"/>
  <c r="W233"/>
  <c r="V233"/>
  <c r="G233"/>
  <c r="AD230"/>
  <c r="X230"/>
  <c r="W230"/>
  <c r="V230"/>
  <c r="G230"/>
  <c r="AG232"/>
  <c r="X232"/>
  <c r="W232"/>
  <c r="V232"/>
  <c r="G232"/>
  <c r="AG231"/>
  <c r="X231"/>
  <c r="W231"/>
  <c r="V231"/>
  <c r="G231"/>
  <c r="AA229"/>
  <c r="X229"/>
  <c r="W229"/>
  <c r="V229"/>
  <c r="G229"/>
  <c r="AD228"/>
  <c r="X228"/>
  <c r="W228"/>
  <c r="V228"/>
  <c r="G228"/>
  <c r="AA227"/>
  <c r="X227"/>
  <c r="W227"/>
  <c r="V227"/>
  <c r="G227"/>
  <c r="AA226"/>
  <c r="X226"/>
  <c r="W226"/>
  <c r="V226"/>
  <c r="G226"/>
  <c r="AD225"/>
  <c r="X225"/>
  <c r="W225"/>
  <c r="V225"/>
  <c r="G225"/>
  <c r="X224"/>
  <c r="W224"/>
  <c r="V224"/>
  <c r="G224"/>
  <c r="K224" s="1"/>
  <c r="X223"/>
  <c r="W223"/>
  <c r="V223"/>
  <c r="G223"/>
  <c r="AK222"/>
  <c r="AI222"/>
  <c r="AH222"/>
  <c r="AF222"/>
  <c r="AE222"/>
  <c r="AC222"/>
  <c r="AB222"/>
  <c r="Z222"/>
  <c r="Y222"/>
  <c r="AD220"/>
  <c r="AD217" s="1"/>
  <c r="X220"/>
  <c r="W220"/>
  <c r="V220"/>
  <c r="G220"/>
  <c r="AG221"/>
  <c r="AG217" s="1"/>
  <c r="X221"/>
  <c r="W221"/>
  <c r="V221"/>
  <c r="G221"/>
  <c r="AA219"/>
  <c r="AA217" s="1"/>
  <c r="X219"/>
  <c r="W219"/>
  <c r="V219"/>
  <c r="G219"/>
  <c r="X218"/>
  <c r="W218"/>
  <c r="V218"/>
  <c r="G218"/>
  <c r="K218" s="1"/>
  <c r="K217" s="1"/>
  <c r="AK217"/>
  <c r="AI217"/>
  <c r="AH217"/>
  <c r="AF217"/>
  <c r="AE217"/>
  <c r="AC217"/>
  <c r="AB217"/>
  <c r="Z217"/>
  <c r="Y217"/>
  <c r="J217"/>
  <c r="I217"/>
  <c r="H217"/>
  <c r="AG216"/>
  <c r="X216"/>
  <c r="W216"/>
  <c r="V216"/>
  <c r="G216"/>
  <c r="K216" s="1"/>
  <c r="AG215"/>
  <c r="X215"/>
  <c r="W215"/>
  <c r="V215"/>
  <c r="G215"/>
  <c r="K215" s="1"/>
  <c r="AG214"/>
  <c r="X214"/>
  <c r="W214"/>
  <c r="V214"/>
  <c r="G214"/>
  <c r="K214" s="1"/>
  <c r="AD210"/>
  <c r="X210"/>
  <c r="W210"/>
  <c r="V210"/>
  <c r="G210"/>
  <c r="K210" s="1"/>
  <c r="AG209"/>
  <c r="AD209"/>
  <c r="X209"/>
  <c r="G209"/>
  <c r="AD208"/>
  <c r="X208"/>
  <c r="W208"/>
  <c r="V208"/>
  <c r="G208"/>
  <c r="K208" s="1"/>
  <c r="AG213"/>
  <c r="X213"/>
  <c r="W213"/>
  <c r="V213"/>
  <c r="G213"/>
  <c r="K213" s="1"/>
  <c r="AG212"/>
  <c r="X212"/>
  <c r="W212"/>
  <c r="V212"/>
  <c r="G212"/>
  <c r="K212" s="1"/>
  <c r="AG211"/>
  <c r="X211"/>
  <c r="W211"/>
  <c r="V211"/>
  <c r="G211"/>
  <c r="AD207"/>
  <c r="X207"/>
  <c r="W207"/>
  <c r="V207"/>
  <c r="G207"/>
  <c r="K207" s="1"/>
  <c r="AD206"/>
  <c r="AC206"/>
  <c r="W206" s="1"/>
  <c r="AB206"/>
  <c r="X206"/>
  <c r="G206"/>
  <c r="AA205"/>
  <c r="X205"/>
  <c r="W205"/>
  <c r="V205"/>
  <c r="G205"/>
  <c r="K205" s="1"/>
  <c r="AA204"/>
  <c r="X204"/>
  <c r="W204"/>
  <c r="V204"/>
  <c r="G204"/>
  <c r="K204" s="1"/>
  <c r="AD203"/>
  <c r="AC203"/>
  <c r="W203" s="1"/>
  <c r="X203"/>
  <c r="V203"/>
  <c r="G203"/>
  <c r="AA202"/>
  <c r="X202"/>
  <c r="W202"/>
  <c r="V202"/>
  <c r="G202"/>
  <c r="K202" s="1"/>
  <c r="AB201"/>
  <c r="AA201" s="1"/>
  <c r="X201"/>
  <c r="W201"/>
  <c r="G201"/>
  <c r="AC200"/>
  <c r="X200"/>
  <c r="V200"/>
  <c r="G200"/>
  <c r="X199"/>
  <c r="W199"/>
  <c r="V199"/>
  <c r="G199"/>
  <c r="K199" s="1"/>
  <c r="X198"/>
  <c r="W198"/>
  <c r="V198"/>
  <c r="G198"/>
  <c r="K198" s="1"/>
  <c r="AK197"/>
  <c r="AI197"/>
  <c r="AH197"/>
  <c r="AF197"/>
  <c r="AE197"/>
  <c r="Z197"/>
  <c r="Y197"/>
  <c r="J197"/>
  <c r="I197"/>
  <c r="H197"/>
  <c r="AG196"/>
  <c r="AG195"/>
  <c r="AG194"/>
  <c r="X194"/>
  <c r="W194"/>
  <c r="V194"/>
  <c r="G194"/>
  <c r="K194" s="1"/>
  <c r="AG193"/>
  <c r="X193"/>
  <c r="W193"/>
  <c r="V193"/>
  <c r="G193"/>
  <c r="K193" s="1"/>
  <c r="AG192"/>
  <c r="X192"/>
  <c r="W192"/>
  <c r="V192"/>
  <c r="G192"/>
  <c r="K192" s="1"/>
  <c r="AG191"/>
  <c r="X191"/>
  <c r="W191"/>
  <c r="V191"/>
  <c r="G191"/>
  <c r="K191" s="1"/>
  <c r="AG190"/>
  <c r="X190"/>
  <c r="W190"/>
  <c r="V190"/>
  <c r="G190"/>
  <c r="K190" s="1"/>
  <c r="AD189"/>
  <c r="X189"/>
  <c r="W189"/>
  <c r="V189"/>
  <c r="G189"/>
  <c r="AD188"/>
  <c r="X188"/>
  <c r="W188"/>
  <c r="V188"/>
  <c r="G188"/>
  <c r="AD187"/>
  <c r="X187"/>
  <c r="W187"/>
  <c r="V187"/>
  <c r="G187"/>
  <c r="AA186"/>
  <c r="X186"/>
  <c r="W186"/>
  <c r="V186"/>
  <c r="G186"/>
  <c r="AA185"/>
  <c r="X185"/>
  <c r="W185"/>
  <c r="V185"/>
  <c r="G185"/>
  <c r="X184"/>
  <c r="W184"/>
  <c r="V184"/>
  <c r="G184"/>
  <c r="K184" s="1"/>
  <c r="X183"/>
  <c r="W183"/>
  <c r="V183"/>
  <c r="G183"/>
  <c r="K183" s="1"/>
  <c r="X182"/>
  <c r="W182"/>
  <c r="V182"/>
  <c r="G182"/>
  <c r="K182" s="1"/>
  <c r="X181"/>
  <c r="W181"/>
  <c r="V181"/>
  <c r="G181"/>
  <c r="AK180"/>
  <c r="AI180"/>
  <c r="AH180"/>
  <c r="AF180"/>
  <c r="AE180"/>
  <c r="AC180"/>
  <c r="AB180"/>
  <c r="Z180"/>
  <c r="Y180"/>
  <c r="AG177"/>
  <c r="AH179"/>
  <c r="AH162" s="1"/>
  <c r="AG178"/>
  <c r="AD172"/>
  <c r="X172"/>
  <c r="W172"/>
  <c r="V172"/>
  <c r="G172"/>
  <c r="AG176"/>
  <c r="X176"/>
  <c r="W176"/>
  <c r="V176"/>
  <c r="G176"/>
  <c r="K176" s="1"/>
  <c r="AG175"/>
  <c r="X175"/>
  <c r="W175"/>
  <c r="V175"/>
  <c r="G175"/>
  <c r="AG174"/>
  <c r="X174"/>
  <c r="W174"/>
  <c r="V174"/>
  <c r="G174"/>
  <c r="AG173"/>
  <c r="X173"/>
  <c r="W173"/>
  <c r="V173"/>
  <c r="G173"/>
  <c r="K173" s="1"/>
  <c r="AD171"/>
  <c r="X171"/>
  <c r="W171"/>
  <c r="V171"/>
  <c r="G171"/>
  <c r="AD170"/>
  <c r="X170"/>
  <c r="W170"/>
  <c r="V170"/>
  <c r="G170"/>
  <c r="G177"/>
  <c r="K177" s="1"/>
  <c r="AD169"/>
  <c r="X169"/>
  <c r="W169"/>
  <c r="V169"/>
  <c r="G169"/>
  <c r="AA168"/>
  <c r="X168"/>
  <c r="W168"/>
  <c r="V168"/>
  <c r="G168"/>
  <c r="AA167"/>
  <c r="X167"/>
  <c r="W167"/>
  <c r="V167"/>
  <c r="G167"/>
  <c r="AA166"/>
  <c r="X166"/>
  <c r="W166"/>
  <c r="V166"/>
  <c r="G166"/>
  <c r="AA165"/>
  <c r="X165"/>
  <c r="W165"/>
  <c r="V165"/>
  <c r="G165"/>
  <c r="X164"/>
  <c r="W164"/>
  <c r="V164"/>
  <c r="G164"/>
  <c r="K164" s="1"/>
  <c r="X163"/>
  <c r="W163"/>
  <c r="V163"/>
  <c r="G163"/>
  <c r="K163" s="1"/>
  <c r="AK162"/>
  <c r="AI162"/>
  <c r="AF162"/>
  <c r="AE162"/>
  <c r="AC162"/>
  <c r="AB162"/>
  <c r="Z162"/>
  <c r="Y162"/>
  <c r="AI161"/>
  <c r="AI151" s="1"/>
  <c r="AH161"/>
  <c r="AH151" s="1"/>
  <c r="AG160"/>
  <c r="X160"/>
  <c r="W160"/>
  <c r="V160"/>
  <c r="G160"/>
  <c r="K160" s="1"/>
  <c r="AG159"/>
  <c r="X159"/>
  <c r="W159"/>
  <c r="V159"/>
  <c r="G159"/>
  <c r="K159" s="1"/>
  <c r="AD158"/>
  <c r="X158"/>
  <c r="W158"/>
  <c r="V158"/>
  <c r="G158"/>
  <c r="AD157"/>
  <c r="X157"/>
  <c r="W157"/>
  <c r="V157"/>
  <c r="G157"/>
  <c r="AD156"/>
  <c r="X156"/>
  <c r="W156"/>
  <c r="V156"/>
  <c r="G156"/>
  <c r="AA155"/>
  <c r="X155"/>
  <c r="W155"/>
  <c r="V155"/>
  <c r="G155"/>
  <c r="AA154"/>
  <c r="X154"/>
  <c r="W154"/>
  <c r="V154"/>
  <c r="G154"/>
  <c r="AA153"/>
  <c r="X153"/>
  <c r="W153"/>
  <c r="V153"/>
  <c r="G153"/>
  <c r="AB152"/>
  <c r="AB151" s="1"/>
  <c r="X152"/>
  <c r="W152"/>
  <c r="G152"/>
  <c r="AK151"/>
  <c r="AF151"/>
  <c r="AE151"/>
  <c r="AC151"/>
  <c r="Z151"/>
  <c r="Y151"/>
  <c r="AG150"/>
  <c r="AD146"/>
  <c r="X146"/>
  <c r="W146"/>
  <c r="V146"/>
  <c r="G146"/>
  <c r="AG149"/>
  <c r="X149"/>
  <c r="W149"/>
  <c r="V149"/>
  <c r="G149"/>
  <c r="K149" s="1"/>
  <c r="AD145"/>
  <c r="X145"/>
  <c r="W145"/>
  <c r="V145"/>
  <c r="G145"/>
  <c r="AG148"/>
  <c r="X148"/>
  <c r="W148"/>
  <c r="V148"/>
  <c r="G148"/>
  <c r="K148" s="1"/>
  <c r="AD144"/>
  <c r="X144"/>
  <c r="W144"/>
  <c r="V144"/>
  <c r="G144"/>
  <c r="AG147"/>
  <c r="X147"/>
  <c r="W147"/>
  <c r="V147"/>
  <c r="G147"/>
  <c r="K147" s="1"/>
  <c r="AA143"/>
  <c r="X143"/>
  <c r="W143"/>
  <c r="V143"/>
  <c r="G143"/>
  <c r="AA142"/>
  <c r="X142"/>
  <c r="W142"/>
  <c r="V142"/>
  <c r="G142"/>
  <c r="K142" s="1"/>
  <c r="AD141"/>
  <c r="X141"/>
  <c r="W141"/>
  <c r="V141"/>
  <c r="G141"/>
  <c r="K141" s="1"/>
  <c r="AA140"/>
  <c r="X140"/>
  <c r="W140"/>
  <c r="V140"/>
  <c r="G140"/>
  <c r="AA139"/>
  <c r="X139"/>
  <c r="W139"/>
  <c r="V139"/>
  <c r="G139"/>
  <c r="X138"/>
  <c r="W138"/>
  <c r="V138"/>
  <c r="G138"/>
  <c r="K138" s="1"/>
  <c r="X137"/>
  <c r="W137"/>
  <c r="V137"/>
  <c r="G137"/>
  <c r="K137" s="1"/>
  <c r="X136"/>
  <c r="W136"/>
  <c r="V136"/>
  <c r="G136"/>
  <c r="K136" s="1"/>
  <c r="AK135"/>
  <c r="AI135"/>
  <c r="AH135"/>
  <c r="AF135"/>
  <c r="AE135"/>
  <c r="AC135"/>
  <c r="AB135"/>
  <c r="Z135"/>
  <c r="Y135"/>
  <c r="AG134"/>
  <c r="AI133"/>
  <c r="AG133" s="1"/>
  <c r="AD129"/>
  <c r="X129"/>
  <c r="W129"/>
  <c r="V129"/>
  <c r="G129"/>
  <c r="AD128"/>
  <c r="X128"/>
  <c r="W128"/>
  <c r="V128"/>
  <c r="G128"/>
  <c r="AD127"/>
  <c r="X127"/>
  <c r="W127"/>
  <c r="V127"/>
  <c r="G127"/>
  <c r="AD126"/>
  <c r="X126"/>
  <c r="W126"/>
  <c r="V126"/>
  <c r="G126"/>
  <c r="AA125"/>
  <c r="X125"/>
  <c r="W125"/>
  <c r="V125"/>
  <c r="G125"/>
  <c r="K125" s="1"/>
  <c r="AA124"/>
  <c r="X124"/>
  <c r="W124"/>
  <c r="V124"/>
  <c r="G124"/>
  <c r="AA123"/>
  <c r="X123"/>
  <c r="W123"/>
  <c r="V123"/>
  <c r="G123"/>
  <c r="K123" s="1"/>
  <c r="AA122"/>
  <c r="X122"/>
  <c r="W122"/>
  <c r="V122"/>
  <c r="G122"/>
  <c r="K122" s="1"/>
  <c r="X121"/>
  <c r="W121"/>
  <c r="V121"/>
  <c r="G121"/>
  <c r="K121" s="1"/>
  <c r="X120"/>
  <c r="W120"/>
  <c r="V120"/>
  <c r="G120"/>
  <c r="AK119"/>
  <c r="AH119"/>
  <c r="AF119"/>
  <c r="AE119"/>
  <c r="AC119"/>
  <c r="AB119"/>
  <c r="Z119"/>
  <c r="Y119"/>
  <c r="AG118"/>
  <c r="AG117"/>
  <c r="AG116"/>
  <c r="X116"/>
  <c r="W116"/>
  <c r="V116"/>
  <c r="G116"/>
  <c r="K116" s="1"/>
  <c r="AG115"/>
  <c r="X115"/>
  <c r="W115"/>
  <c r="V115"/>
  <c r="G115"/>
  <c r="K115" s="1"/>
  <c r="AD112"/>
  <c r="X112"/>
  <c r="W112"/>
  <c r="V112"/>
  <c r="G112"/>
  <c r="K112" s="1"/>
  <c r="AG114"/>
  <c r="X114"/>
  <c r="W114"/>
  <c r="V114"/>
  <c r="G114"/>
  <c r="K114" s="1"/>
  <c r="AG113"/>
  <c r="X113"/>
  <c r="W113"/>
  <c r="V113"/>
  <c r="G113"/>
  <c r="K113" s="1"/>
  <c r="AD111"/>
  <c r="X111"/>
  <c r="W111"/>
  <c r="V111"/>
  <c r="G111"/>
  <c r="K111" s="1"/>
  <c r="AD110"/>
  <c r="X110"/>
  <c r="W110"/>
  <c r="V110"/>
  <c r="G110"/>
  <c r="AA109"/>
  <c r="X109"/>
  <c r="W109"/>
  <c r="V109"/>
  <c r="G109"/>
  <c r="AA108"/>
  <c r="X108"/>
  <c r="W108"/>
  <c r="V108"/>
  <c r="G108"/>
  <c r="X107"/>
  <c r="W107"/>
  <c r="V107"/>
  <c r="G107"/>
  <c r="K107" s="1"/>
  <c r="AC106"/>
  <c r="W106" s="1"/>
  <c r="X106"/>
  <c r="V106"/>
  <c r="G106"/>
  <c r="X105"/>
  <c r="W105"/>
  <c r="V105"/>
  <c r="G105"/>
  <c r="AK104"/>
  <c r="AI104"/>
  <c r="AH104"/>
  <c r="AF104"/>
  <c r="AE104"/>
  <c r="AB104"/>
  <c r="Z104"/>
  <c r="Y104"/>
  <c r="AG103"/>
  <c r="AI102"/>
  <c r="AG102" s="1"/>
  <c r="X102"/>
  <c r="W102"/>
  <c r="V102"/>
  <c r="I102"/>
  <c r="G102" s="1"/>
  <c r="K102" s="1"/>
  <c r="AG101"/>
  <c r="G101"/>
  <c r="K101" s="1"/>
  <c r="AG100"/>
  <c r="G100"/>
  <c r="K100" s="1"/>
  <c r="AG99"/>
  <c r="G99"/>
  <c r="K99" s="1"/>
  <c r="AG98"/>
  <c r="G98"/>
  <c r="K98" s="1"/>
  <c r="AG97"/>
  <c r="X97"/>
  <c r="W97"/>
  <c r="V97"/>
  <c r="G97"/>
  <c r="K97" s="1"/>
  <c r="AG96"/>
  <c r="X96"/>
  <c r="W96"/>
  <c r="V96"/>
  <c r="G96"/>
  <c r="K96" s="1"/>
  <c r="AD95"/>
  <c r="X95"/>
  <c r="W95"/>
  <c r="V95"/>
  <c r="G95"/>
  <c r="AD94"/>
  <c r="X94"/>
  <c r="W94"/>
  <c r="V94"/>
  <c r="G94"/>
  <c r="AD93"/>
  <c r="X93"/>
  <c r="W93"/>
  <c r="V93"/>
  <c r="I93"/>
  <c r="AD92"/>
  <c r="X92"/>
  <c r="W92"/>
  <c r="V92"/>
  <c r="G92"/>
  <c r="AD91"/>
  <c r="X91"/>
  <c r="W91"/>
  <c r="V91"/>
  <c r="I91"/>
  <c r="AA90"/>
  <c r="W90"/>
  <c r="V90"/>
  <c r="I90"/>
  <c r="AA89"/>
  <c r="X89"/>
  <c r="W89"/>
  <c r="V89"/>
  <c r="I89"/>
  <c r="AB88"/>
  <c r="AA88" s="1"/>
  <c r="X88"/>
  <c r="W88"/>
  <c r="G88"/>
  <c r="AA87"/>
  <c r="X87"/>
  <c r="W87"/>
  <c r="V87"/>
  <c r="I87"/>
  <c r="X86"/>
  <c r="W86"/>
  <c r="V86"/>
  <c r="G86"/>
  <c r="K86" s="1"/>
  <c r="X85"/>
  <c r="W85"/>
  <c r="V85"/>
  <c r="G85"/>
  <c r="K85" s="1"/>
  <c r="X84"/>
  <c r="W84"/>
  <c r="V84"/>
  <c r="G84"/>
  <c r="AK83"/>
  <c r="AH83"/>
  <c r="AF83"/>
  <c r="AE83"/>
  <c r="AC83"/>
  <c r="Z83"/>
  <c r="Y83"/>
  <c r="AG82"/>
  <c r="AG81"/>
  <c r="X81"/>
  <c r="W81"/>
  <c r="V81"/>
  <c r="G81"/>
  <c r="K81" s="1"/>
  <c r="AG80"/>
  <c r="X80"/>
  <c r="W80"/>
  <c r="V80"/>
  <c r="G80"/>
  <c r="K80" s="1"/>
  <c r="AG79"/>
  <c r="X79"/>
  <c r="W79"/>
  <c r="V79"/>
  <c r="G79"/>
  <c r="K79" s="1"/>
  <c r="AD78"/>
  <c r="X78"/>
  <c r="W78"/>
  <c r="V78"/>
  <c r="G78"/>
  <c r="K78" s="1"/>
  <c r="AD77"/>
  <c r="X77"/>
  <c r="W77"/>
  <c r="V77"/>
  <c r="G77"/>
  <c r="K77" s="1"/>
  <c r="AD76"/>
  <c r="X76"/>
  <c r="W76"/>
  <c r="V76"/>
  <c r="G76"/>
  <c r="K76" s="1"/>
  <c r="AD75"/>
  <c r="X75"/>
  <c r="W75"/>
  <c r="V75"/>
  <c r="G75"/>
  <c r="AA74"/>
  <c r="X74"/>
  <c r="W74"/>
  <c r="V74"/>
  <c r="G74"/>
  <c r="AB73"/>
  <c r="AA73" s="1"/>
  <c r="X73"/>
  <c r="W73"/>
  <c r="G73"/>
  <c r="AA72"/>
  <c r="X72"/>
  <c r="W72"/>
  <c r="V72"/>
  <c r="G72"/>
  <c r="AA71"/>
  <c r="X71"/>
  <c r="W71"/>
  <c r="V71"/>
  <c r="G71"/>
  <c r="X70"/>
  <c r="W70"/>
  <c r="V70"/>
  <c r="G70"/>
  <c r="K70" s="1"/>
  <c r="A70"/>
  <c r="A71" s="1"/>
  <c r="A72" s="1"/>
  <c r="A73" s="1"/>
  <c r="A74" s="1"/>
  <c r="A75" s="1"/>
  <c r="A76" s="1"/>
  <c r="A77" s="1"/>
  <c r="A78" s="1"/>
  <c r="A79" s="1"/>
  <c r="A80" s="1"/>
  <c r="A81" s="1"/>
  <c r="A82" s="1"/>
  <c r="X69"/>
  <c r="W69"/>
  <c r="V69"/>
  <c r="G69"/>
  <c r="AK68"/>
  <c r="AI68"/>
  <c r="AH68"/>
  <c r="AF68"/>
  <c r="AE68"/>
  <c r="AC68"/>
  <c r="Z68"/>
  <c r="Y68"/>
  <c r="AG67"/>
  <c r="AG66"/>
  <c r="AG65"/>
  <c r="AI63"/>
  <c r="AI55" s="1"/>
  <c r="AH63"/>
  <c r="AH55" s="1"/>
  <c r="AD63"/>
  <c r="AG64"/>
  <c r="AD62"/>
  <c r="X62"/>
  <c r="W62"/>
  <c r="V62"/>
  <c r="G62"/>
  <c r="AD61"/>
  <c r="X61"/>
  <c r="W61"/>
  <c r="V61"/>
  <c r="G61"/>
  <c r="G63"/>
  <c r="AA60"/>
  <c r="X60"/>
  <c r="W60"/>
  <c r="V60"/>
  <c r="G60"/>
  <c r="AA59"/>
  <c r="X59"/>
  <c r="W59"/>
  <c r="V59"/>
  <c r="G59"/>
  <c r="X58"/>
  <c r="W58"/>
  <c r="V58"/>
  <c r="G58"/>
  <c r="X57"/>
  <c r="W57"/>
  <c r="V57"/>
  <c r="G57"/>
  <c r="X56"/>
  <c r="W56"/>
  <c r="V56"/>
  <c r="G56"/>
  <c r="AK55"/>
  <c r="AF55"/>
  <c r="AE55"/>
  <c r="AC55"/>
  <c r="AB55"/>
  <c r="Z55"/>
  <c r="Y55"/>
  <c r="AG54"/>
  <c r="AG53"/>
  <c r="X53"/>
  <c r="W53"/>
  <c r="V53"/>
  <c r="G53"/>
  <c r="AG52"/>
  <c r="X52"/>
  <c r="W52"/>
  <c r="V52"/>
  <c r="G52"/>
  <c r="AD51"/>
  <c r="AD45" s="1"/>
  <c r="X51"/>
  <c r="W51"/>
  <c r="V51"/>
  <c r="G51"/>
  <c r="AA50"/>
  <c r="AA45" s="1"/>
  <c r="X50"/>
  <c r="W50"/>
  <c r="V50"/>
  <c r="G50"/>
  <c r="X49"/>
  <c r="W49"/>
  <c r="V49"/>
  <c r="G49"/>
  <c r="X48"/>
  <c r="W48"/>
  <c r="V48"/>
  <c r="G48"/>
  <c r="X47"/>
  <c r="W47"/>
  <c r="V47"/>
  <c r="G47"/>
  <c r="X46"/>
  <c r="W46"/>
  <c r="V46"/>
  <c r="G46"/>
  <c r="AK45"/>
  <c r="AI45"/>
  <c r="AH45"/>
  <c r="AF45"/>
  <c r="AE45"/>
  <c r="AC45"/>
  <c r="AB45"/>
  <c r="Z45"/>
  <c r="Y45"/>
  <c r="AG44"/>
  <c r="X44"/>
  <c r="U44" s="1"/>
  <c r="W44"/>
  <c r="V44"/>
  <c r="G44"/>
  <c r="K44" s="1"/>
  <c r="AG43"/>
  <c r="G43"/>
  <c r="K43" s="1"/>
  <c r="AG42"/>
  <c r="X42"/>
  <c r="U42" s="1"/>
  <c r="W42"/>
  <c r="V42"/>
  <c r="G42"/>
  <c r="AD41"/>
  <c r="U41" s="1"/>
  <c r="W41"/>
  <c r="V41"/>
  <c r="G41"/>
  <c r="AD40"/>
  <c r="X40"/>
  <c r="W40"/>
  <c r="V40"/>
  <c r="G40"/>
  <c r="AD39"/>
  <c r="X39"/>
  <c r="W39"/>
  <c r="V39"/>
  <c r="G39"/>
  <c r="AD38"/>
  <c r="X38"/>
  <c r="W38"/>
  <c r="V38"/>
  <c r="G38"/>
  <c r="AA37"/>
  <c r="X37"/>
  <c r="W37"/>
  <c r="V37"/>
  <c r="G37"/>
  <c r="AA36"/>
  <c r="X36"/>
  <c r="W36"/>
  <c r="V36"/>
  <c r="G36"/>
  <c r="K36" s="1"/>
  <c r="AA35"/>
  <c r="X35"/>
  <c r="W35"/>
  <c r="V35"/>
  <c r="G35"/>
  <c r="K35" s="1"/>
  <c r="X34"/>
  <c r="U34" s="1"/>
  <c r="W34"/>
  <c r="V34"/>
  <c r="G34"/>
  <c r="K34" s="1"/>
  <c r="X33"/>
  <c r="U33" s="1"/>
  <c r="W33"/>
  <c r="V33"/>
  <c r="G33"/>
  <c r="K33" s="1"/>
  <c r="X32"/>
  <c r="U32" s="1"/>
  <c r="W32"/>
  <c r="V32"/>
  <c r="G32"/>
  <c r="K32" s="1"/>
  <c r="X31"/>
  <c r="U31" s="1"/>
  <c r="W31"/>
  <c r="V31"/>
  <c r="G31"/>
  <c r="K31" s="1"/>
  <c r="AK30"/>
  <c r="AI30"/>
  <c r="AH30"/>
  <c r="AF30"/>
  <c r="AE30"/>
  <c r="AC30"/>
  <c r="AB30"/>
  <c r="Z30"/>
  <c r="Y30"/>
  <c r="J30"/>
  <c r="I30"/>
  <c r="H30"/>
  <c r="N28"/>
  <c r="X27"/>
  <c r="W27"/>
  <c r="V27"/>
  <c r="U27"/>
  <c r="O27"/>
  <c r="N27" s="1"/>
  <c r="M27"/>
  <c r="K27" s="1"/>
  <c r="G27"/>
  <c r="X26"/>
  <c r="W26"/>
  <c r="V26"/>
  <c r="U26"/>
  <c r="G26"/>
  <c r="X25"/>
  <c r="W25"/>
  <c r="V25"/>
  <c r="U25"/>
  <c r="G25"/>
  <c r="AG14"/>
  <c r="X24"/>
  <c r="W24"/>
  <c r="V24"/>
  <c r="U24"/>
  <c r="G24"/>
  <c r="AD23"/>
  <c r="U23" s="1"/>
  <c r="X23"/>
  <c r="W23"/>
  <c r="V23"/>
  <c r="Q23"/>
  <c r="P23"/>
  <c r="P14" s="1"/>
  <c r="O23"/>
  <c r="G23"/>
  <c r="AD22"/>
  <c r="U22" s="1"/>
  <c r="X22"/>
  <c r="W22"/>
  <c r="V22"/>
  <c r="Q22"/>
  <c r="M22"/>
  <c r="L22"/>
  <c r="G22"/>
  <c r="AD21"/>
  <c r="U21" s="1"/>
  <c r="X21"/>
  <c r="W21"/>
  <c r="V21"/>
  <c r="Q21"/>
  <c r="M21"/>
  <c r="L21"/>
  <c r="G21"/>
  <c r="AA20"/>
  <c r="U20" s="1"/>
  <c r="X20"/>
  <c r="W20"/>
  <c r="V20"/>
  <c r="Q20"/>
  <c r="M20"/>
  <c r="L20"/>
  <c r="G20"/>
  <c r="AB19"/>
  <c r="V19" s="1"/>
  <c r="X19"/>
  <c r="W19"/>
  <c r="Q19"/>
  <c r="M19"/>
  <c r="L19"/>
  <c r="G19"/>
  <c r="AB18"/>
  <c r="AA18" s="1"/>
  <c r="U18" s="1"/>
  <c r="X18"/>
  <c r="W18"/>
  <c r="Q18"/>
  <c r="M18"/>
  <c r="L18"/>
  <c r="G18"/>
  <c r="X17"/>
  <c r="U17" s="1"/>
  <c r="W17"/>
  <c r="V17"/>
  <c r="Q17"/>
  <c r="G17"/>
  <c r="X16"/>
  <c r="U16" s="1"/>
  <c r="W16"/>
  <c r="V16"/>
  <c r="Q16"/>
  <c r="G16"/>
  <c r="A16"/>
  <c r="A17" s="1"/>
  <c r="A18" s="1"/>
  <c r="A19" s="1"/>
  <c r="A20" s="1"/>
  <c r="A21" s="1"/>
  <c r="A22" s="1"/>
  <c r="A23" s="1"/>
  <c r="A24" s="1"/>
  <c r="A25" s="1"/>
  <c r="A26" s="1"/>
  <c r="A27" s="1"/>
  <c r="A28" s="1"/>
  <c r="A29" s="1"/>
  <c r="X15"/>
  <c r="W15"/>
  <c r="V15"/>
  <c r="Q15"/>
  <c r="G15"/>
  <c r="AK14"/>
  <c r="AI14"/>
  <c r="AH14"/>
  <c r="AF14"/>
  <c r="AE14"/>
  <c r="AC14"/>
  <c r="Z14"/>
  <c r="Y14"/>
  <c r="T14"/>
  <c r="T13" s="1"/>
  <c r="S14"/>
  <c r="R14"/>
  <c r="J14"/>
  <c r="I14"/>
  <c r="H14"/>
  <c r="X11"/>
  <c r="X10" s="1"/>
  <c r="X9" s="1"/>
  <c r="G11"/>
  <c r="AK10"/>
  <c r="AK9" s="1"/>
  <c r="Z10"/>
  <c r="Z9" s="1"/>
  <c r="Y10"/>
  <c r="Y9" s="1"/>
  <c r="I10"/>
  <c r="I9" s="1"/>
  <c r="H10"/>
  <c r="H9" s="1"/>
  <c r="J9"/>
  <c r="G7"/>
  <c r="H7" s="1"/>
  <c r="I7" s="1"/>
  <c r="J7" s="1"/>
  <c r="A16" i="1"/>
  <c r="A17" s="1"/>
  <c r="A18" s="1"/>
  <c r="A19" s="1"/>
  <c r="A20" s="1"/>
  <c r="A21" s="1"/>
  <c r="A22" s="1"/>
  <c r="A23" s="1"/>
  <c r="A24" s="1"/>
  <c r="A25" s="1"/>
  <c r="A26" s="1"/>
  <c r="A27" s="1"/>
  <c r="A28" s="1"/>
  <c r="A29" s="1"/>
  <c r="W27"/>
  <c r="N27"/>
  <c r="M27"/>
  <c r="L27"/>
  <c r="K27"/>
  <c r="G27"/>
  <c r="H14"/>
  <c r="I14"/>
  <c r="J14"/>
  <c r="X7" i="16" l="1"/>
  <c r="Y7" s="1"/>
  <c r="Z7" s="1"/>
  <c r="AK7" s="1"/>
  <c r="AL7" s="1"/>
  <c r="K7"/>
  <c r="L7" s="1"/>
  <c r="M7" s="1"/>
  <c r="N7" s="1"/>
  <c r="O7" s="1"/>
  <c r="P7" s="1"/>
  <c r="Q7" s="1"/>
  <c r="R7" s="1"/>
  <c r="S7" s="1"/>
  <c r="T7" s="1"/>
  <c r="AJ209"/>
  <c r="J13"/>
  <c r="AD251"/>
  <c r="K223"/>
  <c r="K222" s="1"/>
  <c r="G222"/>
  <c r="U210"/>
  <c r="K181"/>
  <c r="K180" s="1"/>
  <c r="G180"/>
  <c r="K162"/>
  <c r="G162"/>
  <c r="G151"/>
  <c r="K151"/>
  <c r="K135"/>
  <c r="AI119"/>
  <c r="U204"/>
  <c r="U49"/>
  <c r="G135"/>
  <c r="K119"/>
  <c r="U107"/>
  <c r="U234"/>
  <c r="K22"/>
  <c r="G119"/>
  <c r="U174"/>
  <c r="U207"/>
  <c r="AD68"/>
  <c r="AB83"/>
  <c r="G104"/>
  <c r="K105"/>
  <c r="K104" s="1"/>
  <c r="U123"/>
  <c r="V217"/>
  <c r="AN218" s="1"/>
  <c r="AN219" s="1"/>
  <c r="U48"/>
  <c r="U95"/>
  <c r="AA206"/>
  <c r="U165"/>
  <c r="U194"/>
  <c r="U199"/>
  <c r="U227"/>
  <c r="AA222"/>
  <c r="AA55"/>
  <c r="U235"/>
  <c r="U60"/>
  <c r="U77"/>
  <c r="U113"/>
  <c r="K84"/>
  <c r="G87"/>
  <c r="M87"/>
  <c r="I83"/>
  <c r="G90"/>
  <c r="M90"/>
  <c r="K90" s="1"/>
  <c r="G93"/>
  <c r="P93"/>
  <c r="G91"/>
  <c r="M91"/>
  <c r="K91" s="1"/>
  <c r="G89"/>
  <c r="M89"/>
  <c r="K89" s="1"/>
  <c r="U89"/>
  <c r="K69"/>
  <c r="K68" s="1"/>
  <c r="G68"/>
  <c r="U79"/>
  <c r="U74"/>
  <c r="U212"/>
  <c r="U216"/>
  <c r="K21"/>
  <c r="U137"/>
  <c r="U145"/>
  <c r="AD151"/>
  <c r="U126"/>
  <c r="U185"/>
  <c r="U70"/>
  <c r="AD104"/>
  <c r="AA119"/>
  <c r="AC104"/>
  <c r="U211"/>
  <c r="U215"/>
  <c r="U186"/>
  <c r="U232"/>
  <c r="U90"/>
  <c r="AA30"/>
  <c r="N23"/>
  <c r="U122"/>
  <c r="AA162"/>
  <c r="G217"/>
  <c r="U93"/>
  <c r="U142"/>
  <c r="U146"/>
  <c r="U171"/>
  <c r="U91"/>
  <c r="V55"/>
  <c r="AN56" s="1"/>
  <c r="AN57" s="1"/>
  <c r="U143"/>
  <c r="U190"/>
  <c r="W55"/>
  <c r="AO56" s="1"/>
  <c r="AO57" s="1"/>
  <c r="AD135"/>
  <c r="U170"/>
  <c r="AC197"/>
  <c r="AD119"/>
  <c r="U149"/>
  <c r="X151"/>
  <c r="U168"/>
  <c r="AB14"/>
  <c r="AA106"/>
  <c r="AA104" s="1"/>
  <c r="U148"/>
  <c r="U166"/>
  <c r="U229"/>
  <c r="AB68"/>
  <c r="AG179"/>
  <c r="AG162" s="1"/>
  <c r="AE13"/>
  <c r="X180"/>
  <c r="AD180"/>
  <c r="AA19"/>
  <c r="U19" s="1"/>
  <c r="U86"/>
  <c r="W162"/>
  <c r="AO163" s="1"/>
  <c r="AO164" s="1"/>
  <c r="U183"/>
  <c r="W200"/>
  <c r="U200" s="1"/>
  <c r="K16"/>
  <c r="U92"/>
  <c r="U110"/>
  <c r="U87"/>
  <c r="U144"/>
  <c r="U193"/>
  <c r="U221"/>
  <c r="U78"/>
  <c r="U97"/>
  <c r="AG135"/>
  <c r="U181"/>
  <c r="U223"/>
  <c r="U233"/>
  <c r="X222"/>
  <c r="U47"/>
  <c r="AK13"/>
  <c r="AK12" s="1"/>
  <c r="AK8" s="1"/>
  <c r="U61"/>
  <c r="U39"/>
  <c r="AD83"/>
  <c r="U154"/>
  <c r="X197"/>
  <c r="W217"/>
  <c r="AO218" s="1"/>
  <c r="AO219" s="1"/>
  <c r="W222"/>
  <c r="AO223" s="1"/>
  <c r="AO224" s="1"/>
  <c r="V73"/>
  <c r="V68" s="1"/>
  <c r="AN69" s="1"/>
  <c r="U129"/>
  <c r="AD162"/>
  <c r="U188"/>
  <c r="K19"/>
  <c r="U37"/>
  <c r="U94"/>
  <c r="U159"/>
  <c r="U127"/>
  <c r="U172"/>
  <c r="AA200"/>
  <c r="U203"/>
  <c r="V222"/>
  <c r="AN223" s="1"/>
  <c r="AN224" s="1"/>
  <c r="U35"/>
  <c r="U71"/>
  <c r="X83"/>
  <c r="X119"/>
  <c r="U147"/>
  <c r="AA152"/>
  <c r="AA151" s="1"/>
  <c r="U105"/>
  <c r="U115"/>
  <c r="W119"/>
  <c r="AO120" s="1"/>
  <c r="AO121" s="1"/>
  <c r="U155"/>
  <c r="U163"/>
  <c r="U175"/>
  <c r="U184"/>
  <c r="U191"/>
  <c r="U213"/>
  <c r="AA251"/>
  <c r="U69"/>
  <c r="U76"/>
  <c r="U85"/>
  <c r="AA180"/>
  <c r="U189"/>
  <c r="AD197"/>
  <c r="G237"/>
  <c r="U140"/>
  <c r="G197"/>
  <c r="U225"/>
  <c r="AB237"/>
  <c r="U72"/>
  <c r="AI83"/>
  <c r="AI13" s="1"/>
  <c r="AG104"/>
  <c r="AG180"/>
  <c r="U231"/>
  <c r="AG251"/>
  <c r="U111"/>
  <c r="X135"/>
  <c r="O14"/>
  <c r="O13" s="1"/>
  <c r="U53"/>
  <c r="U116"/>
  <c r="U120"/>
  <c r="U138"/>
  <c r="U156"/>
  <c r="U169"/>
  <c r="U176"/>
  <c r="U182"/>
  <c r="U192"/>
  <c r="U202"/>
  <c r="U208"/>
  <c r="AG197"/>
  <c r="U218"/>
  <c r="K18"/>
  <c r="U81"/>
  <c r="U96"/>
  <c r="U136"/>
  <c r="U160"/>
  <c r="U187"/>
  <c r="U40"/>
  <c r="W83"/>
  <c r="W104"/>
  <c r="AO105" s="1"/>
  <c r="AO106" s="1"/>
  <c r="U109"/>
  <c r="U141"/>
  <c r="U153"/>
  <c r="W180"/>
  <c r="AO181" s="1"/>
  <c r="AO182" s="1"/>
  <c r="U198"/>
  <c r="U205"/>
  <c r="U214"/>
  <c r="X217"/>
  <c r="U220"/>
  <c r="AD222"/>
  <c r="U228"/>
  <c r="G10"/>
  <c r="G9" s="1"/>
  <c r="V18"/>
  <c r="V14" s="1"/>
  <c r="AN15" s="1"/>
  <c r="AN16" s="1"/>
  <c r="U52"/>
  <c r="U59"/>
  <c r="AG68"/>
  <c r="AG83"/>
  <c r="U112"/>
  <c r="U125"/>
  <c r="U139"/>
  <c r="U158"/>
  <c r="V180"/>
  <c r="AN181" s="1"/>
  <c r="AN182" s="1"/>
  <c r="X251"/>
  <c r="U38"/>
  <c r="U75"/>
  <c r="AG119"/>
  <c r="U219"/>
  <c r="U226"/>
  <c r="G284"/>
  <c r="AA83"/>
  <c r="U128"/>
  <c r="AG161"/>
  <c r="AG151" s="1"/>
  <c r="W237"/>
  <c r="AO238" s="1"/>
  <c r="AO239" s="1"/>
  <c r="K20"/>
  <c r="U36"/>
  <c r="W68"/>
  <c r="AO69" s="1"/>
  <c r="AA135"/>
  <c r="U173"/>
  <c r="U224"/>
  <c r="Q14"/>
  <c r="AG63"/>
  <c r="AG55" s="1"/>
  <c r="V162"/>
  <c r="AN163" s="1"/>
  <c r="AN164" s="1"/>
  <c r="AA68"/>
  <c r="U80"/>
  <c r="U102"/>
  <c r="V119"/>
  <c r="AN120" s="1"/>
  <c r="AN121" s="1"/>
  <c r="W135"/>
  <c r="AO136" s="1"/>
  <c r="AO137" s="1"/>
  <c r="V152"/>
  <c r="AG222"/>
  <c r="AG237"/>
  <c r="G251"/>
  <c r="X104"/>
  <c r="U108"/>
  <c r="W151"/>
  <c r="AO152" s="1"/>
  <c r="AO153" s="1"/>
  <c r="X162"/>
  <c r="U167"/>
  <c r="X237"/>
  <c r="V251"/>
  <c r="AN252" s="1"/>
  <c r="AN253" s="1"/>
  <c r="U51"/>
  <c r="U114"/>
  <c r="U124"/>
  <c r="U157"/>
  <c r="U230"/>
  <c r="W251"/>
  <c r="AO252" s="1"/>
  <c r="AO253" s="1"/>
  <c r="X289"/>
  <c r="G55"/>
  <c r="K17"/>
  <c r="X55"/>
  <c r="U57"/>
  <c r="X68"/>
  <c r="AG30"/>
  <c r="K30"/>
  <c r="AD55"/>
  <c r="Z13"/>
  <c r="Z12" s="1"/>
  <c r="Z8" s="1"/>
  <c r="U58"/>
  <c r="U62"/>
  <c r="G45"/>
  <c r="V45"/>
  <c r="AN46" s="1"/>
  <c r="AN47" s="1"/>
  <c r="U46"/>
  <c r="AG45"/>
  <c r="W45"/>
  <c r="AO46" s="1"/>
  <c r="AO47" s="1"/>
  <c r="X45"/>
  <c r="J12"/>
  <c r="J8" s="1"/>
  <c r="U50"/>
  <c r="AD30"/>
  <c r="X30"/>
  <c r="G30"/>
  <c r="V30"/>
  <c r="AN31" s="1"/>
  <c r="AN32" s="1"/>
  <c r="AF13"/>
  <c r="W30"/>
  <c r="N16"/>
  <c r="Y13"/>
  <c r="Y12" s="1"/>
  <c r="Y8" s="1"/>
  <c r="W14"/>
  <c r="AO15" s="1"/>
  <c r="AO16" s="1"/>
  <c r="G14"/>
  <c r="L14"/>
  <c r="K15"/>
  <c r="X14"/>
  <c r="AD14"/>
  <c r="U15"/>
  <c r="N17"/>
  <c r="M14"/>
  <c r="U106"/>
  <c r="AA237"/>
  <c r="AH13"/>
  <c r="U121"/>
  <c r="U164"/>
  <c r="AA203"/>
  <c r="N15"/>
  <c r="V135"/>
  <c r="AN136" s="1"/>
  <c r="AN137" s="1"/>
  <c r="U56"/>
  <c r="U84"/>
  <c r="V104"/>
  <c r="AN105" s="1"/>
  <c r="AN106" s="1"/>
  <c r="V206"/>
  <c r="U206" s="1"/>
  <c r="H13"/>
  <c r="H12" s="1"/>
  <c r="H8" s="1"/>
  <c r="AB197"/>
  <c r="V88"/>
  <c r="U88" s="1"/>
  <c r="V201"/>
  <c r="W197" l="1"/>
  <c r="AO198" s="1"/>
  <c r="AO199" s="1"/>
  <c r="AA14"/>
  <c r="AA197"/>
  <c r="U135"/>
  <c r="AM136" s="1"/>
  <c r="AM137" s="1"/>
  <c r="U217"/>
  <c r="AM218" s="1"/>
  <c r="AM219" s="1"/>
  <c r="AC13"/>
  <c r="U73"/>
  <c r="U68" s="1"/>
  <c r="AM69" s="1"/>
  <c r="AM70" s="1"/>
  <c r="G83"/>
  <c r="G13" s="1"/>
  <c r="G12" s="1"/>
  <c r="G8" s="1"/>
  <c r="U14"/>
  <c r="AM22" s="1"/>
  <c r="AM23" s="1"/>
  <c r="N93"/>
  <c r="N83" s="1"/>
  <c r="P83"/>
  <c r="P13" s="1"/>
  <c r="K87"/>
  <c r="K83" s="1"/>
  <c r="M83"/>
  <c r="AB13"/>
  <c r="U55"/>
  <c r="AM56" s="1"/>
  <c r="AM57" s="1"/>
  <c r="U251"/>
  <c r="AM252" s="1"/>
  <c r="AM253" s="1"/>
  <c r="U119"/>
  <c r="AM120" s="1"/>
  <c r="AM121" s="1"/>
  <c r="AO84"/>
  <c r="AO85" s="1"/>
  <c r="V237"/>
  <c r="AN238" s="1"/>
  <c r="AN239" s="1"/>
  <c r="K14"/>
  <c r="U180"/>
  <c r="AM181" s="1"/>
  <c r="AM182" s="1"/>
  <c r="U237"/>
  <c r="AM238" s="1"/>
  <c r="AM239" s="1"/>
  <c r="U30"/>
  <c r="AM31" s="1"/>
  <c r="AM32" s="1"/>
  <c r="U104"/>
  <c r="AM105" s="1"/>
  <c r="AM106" s="1"/>
  <c r="U222"/>
  <c r="AM223" s="1"/>
  <c r="AM224" s="1"/>
  <c r="AO70"/>
  <c r="AO71"/>
  <c r="AA13"/>
  <c r="V151"/>
  <c r="AN152" s="1"/>
  <c r="AN153" s="1"/>
  <c r="U152"/>
  <c r="U151" s="1"/>
  <c r="AM152" s="1"/>
  <c r="AM153" s="1"/>
  <c r="U162"/>
  <c r="AM163" s="1"/>
  <c r="AM164" s="1"/>
  <c r="I13"/>
  <c r="I12" s="1"/>
  <c r="I8" s="1"/>
  <c r="AG13"/>
  <c r="N14"/>
  <c r="N13" s="1"/>
  <c r="AD13"/>
  <c r="X13"/>
  <c r="X12" s="1"/>
  <c r="X8" s="1"/>
  <c r="W13"/>
  <c r="U45"/>
  <c r="AM46" s="1"/>
  <c r="AM47" s="1"/>
  <c r="AO31"/>
  <c r="AO32" s="1"/>
  <c r="U201"/>
  <c r="U197" s="1"/>
  <c r="AM198" s="1"/>
  <c r="AM199" s="1"/>
  <c r="V197"/>
  <c r="AN198" s="1"/>
  <c r="AN199" s="1"/>
  <c r="V83"/>
  <c r="AN70"/>
  <c r="AN71"/>
  <c r="U83"/>
  <c r="AM15" l="1"/>
  <c r="AM16" s="1"/>
  <c r="AM84"/>
  <c r="AM85" s="1"/>
  <c r="AM71"/>
  <c r="V13"/>
  <c r="AN84"/>
  <c r="AN85" s="1"/>
  <c r="U13"/>
  <c r="A3" l="1"/>
  <c r="W215" i="1" l="1"/>
  <c r="X181" l="1"/>
  <c r="Y135" l="1"/>
  <c r="Y163" l="1"/>
  <c r="X163"/>
  <c r="S209"/>
  <c r="R209"/>
  <c r="R247"/>
  <c r="R245"/>
  <c r="S206"/>
  <c r="R204"/>
  <c r="R89"/>
  <c r="R74"/>
  <c r="R19"/>
  <c r="R18"/>
  <c r="R154"/>
  <c r="S203"/>
  <c r="S107"/>
  <c r="L236" l="1"/>
  <c r="M236"/>
  <c r="X257"/>
  <c r="Y257"/>
  <c r="W289"/>
  <c r="W287"/>
  <c r="W285"/>
  <c r="W284"/>
  <c r="W280"/>
  <c r="W279"/>
  <c r="W278"/>
  <c r="W276"/>
  <c r="W271"/>
  <c r="W257" l="1"/>
  <c r="X241"/>
  <c r="Y241"/>
  <c r="W256"/>
  <c r="W248"/>
  <c r="W250"/>
  <c r="W251"/>
  <c r="W254"/>
  <c r="X225"/>
  <c r="Y225"/>
  <c r="W240"/>
  <c r="W239"/>
  <c r="W237"/>
  <c r="W236"/>
  <c r="W234"/>
  <c r="W233"/>
  <c r="W241" l="1"/>
  <c r="W225"/>
  <c r="X200" l="1"/>
  <c r="Y200"/>
  <c r="W219"/>
  <c r="W218"/>
  <c r="W217"/>
  <c r="W213"/>
  <c r="W212"/>
  <c r="W211"/>
  <c r="W200" l="1"/>
  <c r="X164"/>
  <c r="Y164"/>
  <c r="W182"/>
  <c r="W181"/>
  <c r="W180"/>
  <c r="W176"/>
  <c r="W177"/>
  <c r="W178"/>
  <c r="X153" l="1"/>
  <c r="Y153"/>
  <c r="W162"/>
  <c r="W161"/>
  <c r="W163"/>
  <c r="X120"/>
  <c r="Y120"/>
  <c r="W131"/>
  <c r="W129"/>
  <c r="W128"/>
  <c r="W135"/>
  <c r="W136"/>
  <c r="W114"/>
  <c r="W113"/>
  <c r="X105"/>
  <c r="Y105"/>
  <c r="W117"/>
  <c r="W116"/>
  <c r="W119"/>
  <c r="W118"/>
  <c r="W153" l="1"/>
  <c r="W120"/>
  <c r="W105"/>
  <c r="X69" l="1"/>
  <c r="Y69"/>
  <c r="W83"/>
  <c r="W82"/>
  <c r="W81"/>
  <c r="W80"/>
  <c r="W69" l="1"/>
  <c r="X65" l="1"/>
  <c r="Y65"/>
  <c r="X55" l="1"/>
  <c r="Y55"/>
  <c r="T65"/>
  <c r="W66"/>
  <c r="W67"/>
  <c r="W68"/>
  <c r="W64"/>
  <c r="W65" l="1"/>
  <c r="T130"/>
  <c r="X137"/>
  <c r="Y137"/>
  <c r="W152"/>
  <c r="W150"/>
  <c r="W148"/>
  <c r="W146"/>
  <c r="W137" l="1"/>
  <c r="W55"/>
  <c r="T209"/>
  <c r="T115"/>
  <c r="Q107"/>
  <c r="T92"/>
  <c r="L47" l="1"/>
  <c r="M47"/>
  <c r="L48"/>
  <c r="M48"/>
  <c r="L49"/>
  <c r="M49"/>
  <c r="L50"/>
  <c r="M50"/>
  <c r="L51"/>
  <c r="M51"/>
  <c r="M46"/>
  <c r="L46"/>
  <c r="X45"/>
  <c r="Y45"/>
  <c r="W54"/>
  <c r="K49" l="1"/>
  <c r="K48"/>
  <c r="K51"/>
  <c r="K47"/>
  <c r="K50"/>
  <c r="N203"/>
  <c r="Q203"/>
  <c r="T274"/>
  <c r="T282"/>
  <c r="T275"/>
  <c r="T277"/>
  <c r="T266"/>
  <c r="Q270"/>
  <c r="Q269"/>
  <c r="Q268"/>
  <c r="Q267"/>
  <c r="Q265"/>
  <c r="Q264"/>
  <c r="R257"/>
  <c r="S257"/>
  <c r="U257"/>
  <c r="V257"/>
  <c r="L259"/>
  <c r="M259"/>
  <c r="L260"/>
  <c r="M260"/>
  <c r="L261"/>
  <c r="M261"/>
  <c r="L262"/>
  <c r="M262"/>
  <c r="L263"/>
  <c r="M263"/>
  <c r="L264"/>
  <c r="M264"/>
  <c r="L265"/>
  <c r="M265"/>
  <c r="L266"/>
  <c r="M266"/>
  <c r="L267"/>
  <c r="M267"/>
  <c r="L268"/>
  <c r="M268"/>
  <c r="L269"/>
  <c r="M269"/>
  <c r="L270"/>
  <c r="M270"/>
  <c r="L271"/>
  <c r="M271"/>
  <c r="L272"/>
  <c r="M272"/>
  <c r="L273"/>
  <c r="M273"/>
  <c r="L274"/>
  <c r="M274"/>
  <c r="L275"/>
  <c r="M275"/>
  <c r="L276"/>
  <c r="M276"/>
  <c r="L277"/>
  <c r="M277"/>
  <c r="L278"/>
  <c r="M278"/>
  <c r="L279"/>
  <c r="M279"/>
  <c r="L280"/>
  <c r="M280"/>
  <c r="L281"/>
  <c r="M281"/>
  <c r="L282"/>
  <c r="M282"/>
  <c r="L283"/>
  <c r="M283"/>
  <c r="L284"/>
  <c r="M284"/>
  <c r="L285"/>
  <c r="M285"/>
  <c r="L286"/>
  <c r="M286"/>
  <c r="L287"/>
  <c r="M287"/>
  <c r="L288"/>
  <c r="M288"/>
  <c r="L289"/>
  <c r="M289"/>
  <c r="M258"/>
  <c r="L258"/>
  <c r="Q154"/>
  <c r="T253"/>
  <c r="T246"/>
  <c r="K285" l="1"/>
  <c r="K279"/>
  <c r="K273"/>
  <c r="K284"/>
  <c r="K278"/>
  <c r="K272"/>
  <c r="K280"/>
  <c r="K262"/>
  <c r="K286"/>
  <c r="K261"/>
  <c r="K260"/>
  <c r="K259"/>
  <c r="K283"/>
  <c r="K271"/>
  <c r="K265"/>
  <c r="K263"/>
  <c r="K289"/>
  <c r="K281"/>
  <c r="K287"/>
  <c r="K288"/>
  <c r="K276"/>
  <c r="K274"/>
  <c r="K282"/>
  <c r="K275"/>
  <c r="T257"/>
  <c r="K277"/>
  <c r="K266"/>
  <c r="K270"/>
  <c r="K269"/>
  <c r="K268"/>
  <c r="Q257"/>
  <c r="K267"/>
  <c r="M257"/>
  <c r="K264"/>
  <c r="L257"/>
  <c r="K258"/>
  <c r="Q247"/>
  <c r="Q245"/>
  <c r="Q244"/>
  <c r="Q243"/>
  <c r="R241"/>
  <c r="S241"/>
  <c r="T241"/>
  <c r="U241"/>
  <c r="V241"/>
  <c r="L243"/>
  <c r="M243"/>
  <c r="L244"/>
  <c r="M244"/>
  <c r="L245"/>
  <c r="M245"/>
  <c r="L246"/>
  <c r="M246"/>
  <c r="L247"/>
  <c r="M247"/>
  <c r="L248"/>
  <c r="M248"/>
  <c r="L249"/>
  <c r="M249"/>
  <c r="L250"/>
  <c r="M250"/>
  <c r="L251"/>
  <c r="M251"/>
  <c r="L252"/>
  <c r="M252"/>
  <c r="L253"/>
  <c r="M253"/>
  <c r="L254"/>
  <c r="M254"/>
  <c r="M242"/>
  <c r="L242"/>
  <c r="T231"/>
  <c r="T235"/>
  <c r="T228"/>
  <c r="R225"/>
  <c r="S225"/>
  <c r="U225"/>
  <c r="V225"/>
  <c r="Q232"/>
  <c r="Q229"/>
  <c r="Q230"/>
  <c r="L227"/>
  <c r="M227"/>
  <c r="L228"/>
  <c r="M228"/>
  <c r="L229"/>
  <c r="M229"/>
  <c r="L230"/>
  <c r="M230"/>
  <c r="L231"/>
  <c r="M231"/>
  <c r="L232"/>
  <c r="M232"/>
  <c r="L233"/>
  <c r="M233"/>
  <c r="L234"/>
  <c r="M234"/>
  <c r="L235"/>
  <c r="M235"/>
  <c r="L237"/>
  <c r="M237"/>
  <c r="L238"/>
  <c r="M238"/>
  <c r="M226"/>
  <c r="L226"/>
  <c r="W223"/>
  <c r="W220" s="1"/>
  <c r="T224"/>
  <c r="T220" s="1"/>
  <c r="Q222"/>
  <c r="Q220" s="1"/>
  <c r="L222"/>
  <c r="M222"/>
  <c r="L223"/>
  <c r="M223"/>
  <c r="L224"/>
  <c r="M224"/>
  <c r="M221"/>
  <c r="L221"/>
  <c r="R220"/>
  <c r="S220"/>
  <c r="U220"/>
  <c r="V220"/>
  <c r="X220"/>
  <c r="Y220"/>
  <c r="X183"/>
  <c r="Y183"/>
  <c r="W193"/>
  <c r="W194"/>
  <c r="W195"/>
  <c r="W196"/>
  <c r="W197"/>
  <c r="W199"/>
  <c r="W198"/>
  <c r="K233" l="1"/>
  <c r="K227"/>
  <c r="K242"/>
  <c r="K249"/>
  <c r="K238"/>
  <c r="Q225"/>
  <c r="K248"/>
  <c r="K254"/>
  <c r="K252"/>
  <c r="K250"/>
  <c r="K251"/>
  <c r="W183"/>
  <c r="K257"/>
  <c r="K253"/>
  <c r="K246"/>
  <c r="K247"/>
  <c r="K245"/>
  <c r="Q241"/>
  <c r="K244"/>
  <c r="M241"/>
  <c r="K243"/>
  <c r="L241"/>
  <c r="K237"/>
  <c r="K236"/>
  <c r="K234"/>
  <c r="K231"/>
  <c r="M225"/>
  <c r="T225"/>
  <c r="K235"/>
  <c r="L225"/>
  <c r="K228"/>
  <c r="K232"/>
  <c r="K229"/>
  <c r="K230"/>
  <c r="K226"/>
  <c r="K223"/>
  <c r="M220"/>
  <c r="K224"/>
  <c r="K222"/>
  <c r="K221"/>
  <c r="L220"/>
  <c r="K241" l="1"/>
  <c r="K225"/>
  <c r="K220"/>
  <c r="T215" l="1"/>
  <c r="T214"/>
  <c r="T216"/>
  <c r="T210"/>
  <c r="T206"/>
  <c r="Q205"/>
  <c r="Q206"/>
  <c r="Q207"/>
  <c r="Q208"/>
  <c r="Q209"/>
  <c r="Q204"/>
  <c r="L202"/>
  <c r="K202" s="1"/>
  <c r="M202"/>
  <c r="L203"/>
  <c r="M203"/>
  <c r="L204"/>
  <c r="M204"/>
  <c r="L205"/>
  <c r="M205"/>
  <c r="L206"/>
  <c r="M206"/>
  <c r="L207"/>
  <c r="M207"/>
  <c r="L208"/>
  <c r="M208"/>
  <c r="L209"/>
  <c r="M209"/>
  <c r="L210"/>
  <c r="M210"/>
  <c r="L211"/>
  <c r="M211"/>
  <c r="L212"/>
  <c r="M212"/>
  <c r="L213"/>
  <c r="M213"/>
  <c r="L214"/>
  <c r="M214"/>
  <c r="L215"/>
  <c r="M215"/>
  <c r="L216"/>
  <c r="M216"/>
  <c r="L217"/>
  <c r="M217"/>
  <c r="L218"/>
  <c r="M218"/>
  <c r="L219"/>
  <c r="M219"/>
  <c r="M201"/>
  <c r="L201"/>
  <c r="R153"/>
  <c r="S153"/>
  <c r="U153"/>
  <c r="V153"/>
  <c r="T159"/>
  <c r="T160"/>
  <c r="T158"/>
  <c r="Q156"/>
  <c r="Q157"/>
  <c r="Q155"/>
  <c r="L155"/>
  <c r="M155"/>
  <c r="L156"/>
  <c r="M156"/>
  <c r="L157"/>
  <c r="M157"/>
  <c r="L158"/>
  <c r="M158"/>
  <c r="L159"/>
  <c r="M159"/>
  <c r="L160"/>
  <c r="M160"/>
  <c r="L161"/>
  <c r="M161"/>
  <c r="L162"/>
  <c r="M162"/>
  <c r="M154"/>
  <c r="L154"/>
  <c r="A139"/>
  <c r="A140" s="1"/>
  <c r="A141" s="1"/>
  <c r="A142" s="1"/>
  <c r="A143" s="1"/>
  <c r="A144" s="1"/>
  <c r="A145" s="1"/>
  <c r="A146" s="1"/>
  <c r="A147" s="1"/>
  <c r="A148" s="1"/>
  <c r="A149" s="1"/>
  <c r="A150" s="1"/>
  <c r="A151" s="1"/>
  <c r="R137"/>
  <c r="S137"/>
  <c r="U137"/>
  <c r="V137"/>
  <c r="T149"/>
  <c r="T147"/>
  <c r="T151"/>
  <c r="T143"/>
  <c r="Q145"/>
  <c r="Q144"/>
  <c r="Q142"/>
  <c r="Q141"/>
  <c r="L139"/>
  <c r="M139"/>
  <c r="L140"/>
  <c r="M140"/>
  <c r="L141"/>
  <c r="M141"/>
  <c r="L142"/>
  <c r="M142"/>
  <c r="L143"/>
  <c r="M143"/>
  <c r="L144"/>
  <c r="M144"/>
  <c r="L145"/>
  <c r="M145"/>
  <c r="L146"/>
  <c r="M146"/>
  <c r="L147"/>
  <c r="M147"/>
  <c r="L148"/>
  <c r="M148"/>
  <c r="L149"/>
  <c r="M149"/>
  <c r="L150"/>
  <c r="M150"/>
  <c r="L151"/>
  <c r="M151"/>
  <c r="M138"/>
  <c r="L138"/>
  <c r="R120"/>
  <c r="S120"/>
  <c r="U120"/>
  <c r="V120"/>
  <c r="T133"/>
  <c r="T134"/>
  <c r="T132"/>
  <c r="T120" s="1"/>
  <c r="Q124"/>
  <c r="Q125"/>
  <c r="Q126"/>
  <c r="Q123"/>
  <c r="L124"/>
  <c r="M124"/>
  <c r="L125"/>
  <c r="M125"/>
  <c r="L126"/>
  <c r="M126"/>
  <c r="L127"/>
  <c r="M127"/>
  <c r="L128"/>
  <c r="M128"/>
  <c r="L129"/>
  <c r="M129"/>
  <c r="L130"/>
  <c r="M130"/>
  <c r="L131"/>
  <c r="M131"/>
  <c r="L132"/>
  <c r="M132"/>
  <c r="L133"/>
  <c r="M133"/>
  <c r="L134"/>
  <c r="M134"/>
  <c r="L123"/>
  <c r="M123"/>
  <c r="L122"/>
  <c r="M122"/>
  <c r="M121"/>
  <c r="L121"/>
  <c r="A71"/>
  <c r="A72" s="1"/>
  <c r="A73" s="1"/>
  <c r="A74" s="1"/>
  <c r="A75" s="1"/>
  <c r="A76" s="1"/>
  <c r="A77" s="1"/>
  <c r="A78" s="1"/>
  <c r="A79" s="1"/>
  <c r="A80" s="1"/>
  <c r="A81" s="1"/>
  <c r="A82" s="1"/>
  <c r="T76"/>
  <c r="T79"/>
  <c r="T78"/>
  <c r="T77"/>
  <c r="T69" s="1"/>
  <c r="R69"/>
  <c r="S69"/>
  <c r="U69"/>
  <c r="V69"/>
  <c r="R105"/>
  <c r="S105"/>
  <c r="U105"/>
  <c r="V105"/>
  <c r="T153" l="1"/>
  <c r="T137"/>
  <c r="K140"/>
  <c r="M137"/>
  <c r="K146"/>
  <c r="Q137"/>
  <c r="K203"/>
  <c r="K218"/>
  <c r="K211"/>
  <c r="K219"/>
  <c r="K213"/>
  <c r="K212"/>
  <c r="K217"/>
  <c r="K210"/>
  <c r="K204"/>
  <c r="K122"/>
  <c r="Q153"/>
  <c r="Q120"/>
  <c r="L153"/>
  <c r="M153"/>
  <c r="K123"/>
  <c r="K128"/>
  <c r="L120"/>
  <c r="M120"/>
  <c r="K215"/>
  <c r="K214"/>
  <c r="K216"/>
  <c r="K209"/>
  <c r="K208"/>
  <c r="K207"/>
  <c r="K205"/>
  <c r="K206"/>
  <c r="K201"/>
  <c r="K162"/>
  <c r="K161"/>
  <c r="K160"/>
  <c r="K159"/>
  <c r="K158"/>
  <c r="K157"/>
  <c r="K156"/>
  <c r="K155"/>
  <c r="K154"/>
  <c r="L137"/>
  <c r="K139"/>
  <c r="K148"/>
  <c r="K144"/>
  <c r="K150"/>
  <c r="K149"/>
  <c r="K147"/>
  <c r="K151"/>
  <c r="K143"/>
  <c r="K145"/>
  <c r="K142"/>
  <c r="K141"/>
  <c r="K138"/>
  <c r="K130"/>
  <c r="K129"/>
  <c r="K121"/>
  <c r="K131"/>
  <c r="K127"/>
  <c r="K132"/>
  <c r="K134"/>
  <c r="K133"/>
  <c r="K126"/>
  <c r="K125"/>
  <c r="K124"/>
  <c r="T112"/>
  <c r="T111"/>
  <c r="Q110"/>
  <c r="Q109"/>
  <c r="L107"/>
  <c r="M107"/>
  <c r="L108"/>
  <c r="M108"/>
  <c r="L109"/>
  <c r="M109"/>
  <c r="L110"/>
  <c r="M110"/>
  <c r="L111"/>
  <c r="M111"/>
  <c r="L112"/>
  <c r="M112"/>
  <c r="L113"/>
  <c r="M113"/>
  <c r="L114"/>
  <c r="M114"/>
  <c r="L115"/>
  <c r="M115"/>
  <c r="L116"/>
  <c r="M116"/>
  <c r="L117"/>
  <c r="M117"/>
  <c r="M106"/>
  <c r="L106"/>
  <c r="Q75"/>
  <c r="Q73"/>
  <c r="Q74"/>
  <c r="Q72"/>
  <c r="L71"/>
  <c r="M71"/>
  <c r="L72"/>
  <c r="M72"/>
  <c r="L73"/>
  <c r="M73"/>
  <c r="L74"/>
  <c r="M74"/>
  <c r="L75"/>
  <c r="M75"/>
  <c r="L76"/>
  <c r="M76"/>
  <c r="L77"/>
  <c r="M77"/>
  <c r="L78"/>
  <c r="M78"/>
  <c r="L79"/>
  <c r="M79"/>
  <c r="L80"/>
  <c r="M80"/>
  <c r="L81"/>
  <c r="M81"/>
  <c r="L82"/>
  <c r="M82"/>
  <c r="M70"/>
  <c r="L70"/>
  <c r="K70" s="1"/>
  <c r="T105" l="1"/>
  <c r="Q69"/>
  <c r="Q105"/>
  <c r="K114"/>
  <c r="K153"/>
  <c r="K116"/>
  <c r="K137"/>
  <c r="K120"/>
  <c r="K108"/>
  <c r="K115"/>
  <c r="K107"/>
  <c r="K113"/>
  <c r="M105"/>
  <c r="K117"/>
  <c r="L105"/>
  <c r="K106"/>
  <c r="M69"/>
  <c r="L69"/>
  <c r="K79"/>
  <c r="K112"/>
  <c r="K111"/>
  <c r="K110"/>
  <c r="K109"/>
  <c r="K82"/>
  <c r="K80"/>
  <c r="K81"/>
  <c r="K71"/>
  <c r="K78"/>
  <c r="K77"/>
  <c r="K76"/>
  <c r="K75"/>
  <c r="K74"/>
  <c r="K73"/>
  <c r="K72"/>
  <c r="K105" l="1"/>
  <c r="K69"/>
  <c r="T62" l="1"/>
  <c r="T63"/>
  <c r="T61"/>
  <c r="Q60"/>
  <c r="Q59"/>
  <c r="L57"/>
  <c r="M57"/>
  <c r="L58"/>
  <c r="M58"/>
  <c r="L59"/>
  <c r="M59"/>
  <c r="L60"/>
  <c r="M60"/>
  <c r="L61"/>
  <c r="M61"/>
  <c r="L62"/>
  <c r="M62"/>
  <c r="L63"/>
  <c r="M63"/>
  <c r="M56"/>
  <c r="L56"/>
  <c r="Q55"/>
  <c r="R55"/>
  <c r="S55"/>
  <c r="U55"/>
  <c r="V55"/>
  <c r="Q200"/>
  <c r="R200"/>
  <c r="S200"/>
  <c r="T200"/>
  <c r="U200"/>
  <c r="V200"/>
  <c r="K200"/>
  <c r="L200"/>
  <c r="M200"/>
  <c r="R183"/>
  <c r="S183"/>
  <c r="U183"/>
  <c r="V183"/>
  <c r="T191"/>
  <c r="T192"/>
  <c r="T190"/>
  <c r="Q189"/>
  <c r="Q188"/>
  <c r="Q183" s="1"/>
  <c r="L185"/>
  <c r="M185"/>
  <c r="L186"/>
  <c r="M186"/>
  <c r="K186" s="1"/>
  <c r="L187"/>
  <c r="M187"/>
  <c r="L188"/>
  <c r="M188"/>
  <c r="L189"/>
  <c r="M189"/>
  <c r="L190"/>
  <c r="M190"/>
  <c r="K190" s="1"/>
  <c r="L191"/>
  <c r="M191"/>
  <c r="L192"/>
  <c r="M192"/>
  <c r="L193"/>
  <c r="M193"/>
  <c r="L194"/>
  <c r="M194"/>
  <c r="L195"/>
  <c r="M195"/>
  <c r="L196"/>
  <c r="M196"/>
  <c r="L197"/>
  <c r="M197"/>
  <c r="M184"/>
  <c r="L184"/>
  <c r="W175"/>
  <c r="W164" s="1"/>
  <c r="T174"/>
  <c r="T173"/>
  <c r="T179"/>
  <c r="T172"/>
  <c r="T171"/>
  <c r="Q170"/>
  <c r="Q168"/>
  <c r="Q169"/>
  <c r="L166"/>
  <c r="M166"/>
  <c r="L167"/>
  <c r="M167"/>
  <c r="L168"/>
  <c r="M168"/>
  <c r="L169"/>
  <c r="M169"/>
  <c r="L170"/>
  <c r="M170"/>
  <c r="L171"/>
  <c r="M171"/>
  <c r="L172"/>
  <c r="M172"/>
  <c r="L173"/>
  <c r="M173"/>
  <c r="L174"/>
  <c r="M174"/>
  <c r="L175"/>
  <c r="M175"/>
  <c r="L176"/>
  <c r="M176"/>
  <c r="L177"/>
  <c r="M177"/>
  <c r="L178"/>
  <c r="M178"/>
  <c r="L179"/>
  <c r="M179"/>
  <c r="M165"/>
  <c r="L165"/>
  <c r="R164"/>
  <c r="S164"/>
  <c r="U164"/>
  <c r="V164"/>
  <c r="Q167"/>
  <c r="K56" l="1"/>
  <c r="K174"/>
  <c r="T55"/>
  <c r="K61"/>
  <c r="K165"/>
  <c r="K57"/>
  <c r="T183"/>
  <c r="K58"/>
  <c r="K63"/>
  <c r="K62"/>
  <c r="M55"/>
  <c r="K60"/>
  <c r="K59"/>
  <c r="L55"/>
  <c r="K167"/>
  <c r="K194"/>
  <c r="K197"/>
  <c r="M183"/>
  <c r="L183"/>
  <c r="K195"/>
  <c r="K193"/>
  <c r="K187"/>
  <c r="K185"/>
  <c r="K184"/>
  <c r="K196"/>
  <c r="K192"/>
  <c r="K191"/>
  <c r="K189"/>
  <c r="K188"/>
  <c r="K178"/>
  <c r="K166"/>
  <c r="K177"/>
  <c r="K175"/>
  <c r="K172"/>
  <c r="K176"/>
  <c r="K173"/>
  <c r="T164"/>
  <c r="K179"/>
  <c r="K171"/>
  <c r="K170"/>
  <c r="K169"/>
  <c r="Q164"/>
  <c r="K168"/>
  <c r="M164"/>
  <c r="L164"/>
  <c r="K55" l="1"/>
  <c r="K183"/>
  <c r="K164"/>
  <c r="X84" l="1"/>
  <c r="W104"/>
  <c r="Y103"/>
  <c r="W103" s="1"/>
  <c r="W102"/>
  <c r="W101"/>
  <c r="W100"/>
  <c r="W99"/>
  <c r="W98"/>
  <c r="W97"/>
  <c r="A98"/>
  <c r="A99" s="1"/>
  <c r="A100" s="1"/>
  <c r="A101" s="1"/>
  <c r="A102" s="1"/>
  <c r="A103" s="1"/>
  <c r="A104" s="1"/>
  <c r="G102"/>
  <c r="G101"/>
  <c r="G100"/>
  <c r="G99"/>
  <c r="G98"/>
  <c r="W84" l="1"/>
  <c r="Y84"/>
  <c r="L93"/>
  <c r="M93"/>
  <c r="L94"/>
  <c r="M94"/>
  <c r="L95"/>
  <c r="M95"/>
  <c r="L96"/>
  <c r="M96"/>
  <c r="T95"/>
  <c r="T96"/>
  <c r="T94"/>
  <c r="T93"/>
  <c r="R84"/>
  <c r="S84"/>
  <c r="U84"/>
  <c r="V84"/>
  <c r="Q91"/>
  <c r="Q90"/>
  <c r="Q89"/>
  <c r="Q88"/>
  <c r="L86"/>
  <c r="M86"/>
  <c r="L87"/>
  <c r="M87"/>
  <c r="L88"/>
  <c r="M88"/>
  <c r="L89"/>
  <c r="M89"/>
  <c r="L90"/>
  <c r="M90"/>
  <c r="L91"/>
  <c r="M91"/>
  <c r="L92"/>
  <c r="M92"/>
  <c r="L97"/>
  <c r="M97"/>
  <c r="L98"/>
  <c r="M98"/>
  <c r="L103"/>
  <c r="M103"/>
  <c r="M85"/>
  <c r="L85"/>
  <c r="K85" l="1"/>
  <c r="K96"/>
  <c r="K93"/>
  <c r="T84"/>
  <c r="K95"/>
  <c r="K97"/>
  <c r="K94"/>
  <c r="K103"/>
  <c r="K87"/>
  <c r="K86"/>
  <c r="K98"/>
  <c r="Q84"/>
  <c r="M84"/>
  <c r="K92"/>
  <c r="L84"/>
  <c r="K90"/>
  <c r="K89"/>
  <c r="K91"/>
  <c r="K88"/>
  <c r="W53"/>
  <c r="W52"/>
  <c r="W45" s="1"/>
  <c r="R45"/>
  <c r="S45"/>
  <c r="T45"/>
  <c r="U45"/>
  <c r="V45"/>
  <c r="L52"/>
  <c r="M52"/>
  <c r="L53"/>
  <c r="M53"/>
  <c r="K46"/>
  <c r="T51"/>
  <c r="Q50"/>
  <c r="Q45" s="1"/>
  <c r="L45" l="1"/>
  <c r="M45"/>
  <c r="K53"/>
  <c r="K52"/>
  <c r="K84"/>
  <c r="W43"/>
  <c r="G43"/>
  <c r="A42"/>
  <c r="A43" s="1"/>
  <c r="A44" s="1"/>
  <c r="K45" l="1"/>
  <c r="W44"/>
  <c r="W42"/>
  <c r="W30" s="1"/>
  <c r="T41"/>
  <c r="T40"/>
  <c r="T39"/>
  <c r="T38"/>
  <c r="Q37"/>
  <c r="Q36"/>
  <c r="Q35"/>
  <c r="L32"/>
  <c r="M32"/>
  <c r="L33"/>
  <c r="M33"/>
  <c r="L34"/>
  <c r="M34"/>
  <c r="L35"/>
  <c r="M35"/>
  <c r="L36"/>
  <c r="M36"/>
  <c r="L37"/>
  <c r="M37"/>
  <c r="L38"/>
  <c r="M38"/>
  <c r="L39"/>
  <c r="M39"/>
  <c r="L40"/>
  <c r="M40"/>
  <c r="L41"/>
  <c r="M41"/>
  <c r="L42"/>
  <c r="M42"/>
  <c r="L44"/>
  <c r="M44"/>
  <c r="L31"/>
  <c r="M31"/>
  <c r="R30"/>
  <c r="S30"/>
  <c r="U30"/>
  <c r="V30"/>
  <c r="X30"/>
  <c r="Y30"/>
  <c r="T30" l="1"/>
  <c r="K41"/>
  <c r="L30"/>
  <c r="Q30"/>
  <c r="M30"/>
  <c r="X14"/>
  <c r="X13" s="1"/>
  <c r="Y14"/>
  <c r="Y13" s="1"/>
  <c r="W29"/>
  <c r="W28"/>
  <c r="W26" l="1"/>
  <c r="W25"/>
  <c r="W24"/>
  <c r="W14" l="1"/>
  <c r="W13" s="1"/>
  <c r="L19"/>
  <c r="M19"/>
  <c r="L20"/>
  <c r="M20"/>
  <c r="L21"/>
  <c r="M21"/>
  <c r="K22"/>
  <c r="L22"/>
  <c r="M22"/>
  <c r="K24"/>
  <c r="L24"/>
  <c r="M24"/>
  <c r="K25"/>
  <c r="L25"/>
  <c r="M25"/>
  <c r="K26"/>
  <c r="L26"/>
  <c r="M26"/>
  <c r="L23"/>
  <c r="M23"/>
  <c r="L18"/>
  <c r="M18"/>
  <c r="T23"/>
  <c r="K23" s="1"/>
  <c r="T22"/>
  <c r="T21"/>
  <c r="K21" s="1"/>
  <c r="Q20" l="1"/>
  <c r="K20" s="1"/>
  <c r="Q19"/>
  <c r="R14"/>
  <c r="R13" s="1"/>
  <c r="S14"/>
  <c r="S13" s="1"/>
  <c r="T14"/>
  <c r="T13" s="1"/>
  <c r="U14"/>
  <c r="U13" s="1"/>
  <c r="V14"/>
  <c r="V13" s="1"/>
  <c r="Q18"/>
  <c r="K18" s="1"/>
  <c r="Q14" l="1"/>
  <c r="Q13" s="1"/>
  <c r="K19"/>
  <c r="L16"/>
  <c r="M16"/>
  <c r="L17"/>
  <c r="M17"/>
  <c r="L15"/>
  <c r="M15"/>
  <c r="M14" l="1"/>
  <c r="L14"/>
  <c r="M13"/>
  <c r="Q12" i="13"/>
  <c r="P12"/>
  <c r="O12" s="1"/>
  <c r="L12"/>
  <c r="L13" i="1" l="1"/>
  <c r="H11" i="13"/>
  <c r="L11"/>
  <c r="M11"/>
  <c r="N11"/>
  <c r="O93" i="12" l="1"/>
  <c r="O100" i="11"/>
  <c r="G7" i="1"/>
  <c r="H7" s="1"/>
  <c r="I7" s="1"/>
  <c r="J7" s="1"/>
  <c r="N7" s="1"/>
  <c r="O7" s="1"/>
  <c r="P7" s="1"/>
  <c r="AA7" s="1"/>
  <c r="AB7" s="1"/>
  <c r="E8" i="13"/>
  <c r="F8" s="1"/>
  <c r="G8" s="1"/>
  <c r="H8" s="1"/>
  <c r="O8" s="1"/>
  <c r="P8" s="1"/>
  <c r="Q8" s="1"/>
  <c r="R8" s="1"/>
  <c r="S8" s="1"/>
  <c r="P179" l="1"/>
  <c r="P136"/>
  <c r="P94"/>
  <c r="O94" s="1"/>
  <c r="O264"/>
  <c r="E264"/>
  <c r="E263" s="1"/>
  <c r="R263"/>
  <c r="Q263"/>
  <c r="P263"/>
  <c r="O263"/>
  <c r="H263"/>
  <c r="G263"/>
  <c r="F263"/>
  <c r="R262"/>
  <c r="Q262"/>
  <c r="P262"/>
  <c r="O262"/>
  <c r="H262"/>
  <c r="G262"/>
  <c r="F262"/>
  <c r="E262"/>
  <c r="O261"/>
  <c r="E261"/>
  <c r="O260"/>
  <c r="E260"/>
  <c r="O259"/>
  <c r="E259"/>
  <c r="O258"/>
  <c r="E258"/>
  <c r="O257"/>
  <c r="E257"/>
  <c r="O256"/>
  <c r="E256"/>
  <c r="O255"/>
  <c r="E255"/>
  <c r="O254"/>
  <c r="E254"/>
  <c r="O253"/>
  <c r="E253"/>
  <c r="O252"/>
  <c r="E252"/>
  <c r="O251"/>
  <c r="E251"/>
  <c r="O250"/>
  <c r="E250"/>
  <c r="O249"/>
  <c r="E249"/>
  <c r="O248"/>
  <c r="E248"/>
  <c r="O247"/>
  <c r="E247"/>
  <c r="O246"/>
  <c r="E246"/>
  <c r="O245"/>
  <c r="E245"/>
  <c r="O244"/>
  <c r="E244"/>
  <c r="O243"/>
  <c r="E243"/>
  <c r="O242"/>
  <c r="E242"/>
  <c r="O241"/>
  <c r="E241"/>
  <c r="O240"/>
  <c r="E240"/>
  <c r="O239"/>
  <c r="E239"/>
  <c r="O238"/>
  <c r="E238"/>
  <c r="O237"/>
  <c r="E237"/>
  <c r="O236"/>
  <c r="E236"/>
  <c r="O235"/>
  <c r="E235"/>
  <c r="O234"/>
  <c r="E234"/>
  <c r="O233"/>
  <c r="E233"/>
  <c r="O232"/>
  <c r="E232"/>
  <c r="O231"/>
  <c r="E231"/>
  <c r="O230"/>
  <c r="E230"/>
  <c r="R229"/>
  <c r="Q229"/>
  <c r="P229"/>
  <c r="H229"/>
  <c r="G229"/>
  <c r="F229"/>
  <c r="O228"/>
  <c r="E228"/>
  <c r="O227"/>
  <c r="E227"/>
  <c r="O226"/>
  <c r="E226"/>
  <c r="O225"/>
  <c r="E225"/>
  <c r="O224"/>
  <c r="E224"/>
  <c r="O223"/>
  <c r="E223"/>
  <c r="O222"/>
  <c r="E222"/>
  <c r="O221"/>
  <c r="E221"/>
  <c r="O220"/>
  <c r="E220"/>
  <c r="O219"/>
  <c r="E219"/>
  <c r="O218"/>
  <c r="E218"/>
  <c r="O217"/>
  <c r="E217"/>
  <c r="O216"/>
  <c r="E216"/>
  <c r="R215"/>
  <c r="Q215"/>
  <c r="P215"/>
  <c r="H215"/>
  <c r="G215"/>
  <c r="F215"/>
  <c r="O214"/>
  <c r="E214"/>
  <c r="O213"/>
  <c r="E213"/>
  <c r="O212"/>
  <c r="E212"/>
  <c r="O211"/>
  <c r="E211"/>
  <c r="O210"/>
  <c r="E210"/>
  <c r="O209"/>
  <c r="E209"/>
  <c r="O208"/>
  <c r="E208"/>
  <c r="O207"/>
  <c r="E207"/>
  <c r="O206"/>
  <c r="E206"/>
  <c r="O205"/>
  <c r="E205"/>
  <c r="O204"/>
  <c r="E204"/>
  <c r="O203"/>
  <c r="E203"/>
  <c r="O202"/>
  <c r="E202"/>
  <c r="R201"/>
  <c r="Q201"/>
  <c r="P201"/>
  <c r="H201"/>
  <c r="G201"/>
  <c r="F201"/>
  <c r="O200"/>
  <c r="E200"/>
  <c r="O199"/>
  <c r="E199"/>
  <c r="O198"/>
  <c r="E198"/>
  <c r="O197"/>
  <c r="E197"/>
  <c r="R196"/>
  <c r="Q196"/>
  <c r="P196"/>
  <c r="H196"/>
  <c r="G196"/>
  <c r="F196"/>
  <c r="O195"/>
  <c r="E195"/>
  <c r="O194"/>
  <c r="E194"/>
  <c r="O193"/>
  <c r="E193"/>
  <c r="O192"/>
  <c r="E192"/>
  <c r="O191"/>
  <c r="E191"/>
  <c r="O190"/>
  <c r="E190"/>
  <c r="O189"/>
  <c r="E189"/>
  <c r="O188"/>
  <c r="E188"/>
  <c r="O187"/>
  <c r="E187"/>
  <c r="O186"/>
  <c r="E186"/>
  <c r="O185"/>
  <c r="E185"/>
  <c r="O184"/>
  <c r="E184"/>
  <c r="O183"/>
  <c r="E183"/>
  <c r="O182"/>
  <c r="E182"/>
  <c r="O181"/>
  <c r="E181"/>
  <c r="O180"/>
  <c r="E180"/>
  <c r="O179"/>
  <c r="E179"/>
  <c r="O178"/>
  <c r="E178"/>
  <c r="O177"/>
  <c r="E177"/>
  <c r="R176"/>
  <c r="Q176"/>
  <c r="P176"/>
  <c r="H176"/>
  <c r="G176"/>
  <c r="F176"/>
  <c r="O175"/>
  <c r="E175"/>
  <c r="O174"/>
  <c r="E174"/>
  <c r="O173"/>
  <c r="E173"/>
  <c r="O172"/>
  <c r="E172"/>
  <c r="O171"/>
  <c r="E171"/>
  <c r="O170"/>
  <c r="E170"/>
  <c r="O169"/>
  <c r="E169"/>
  <c r="O168"/>
  <c r="E168"/>
  <c r="O167"/>
  <c r="E167"/>
  <c r="O166"/>
  <c r="E166"/>
  <c r="O165"/>
  <c r="E165"/>
  <c r="O164"/>
  <c r="E164"/>
  <c r="O163"/>
  <c r="E163"/>
  <c r="O162"/>
  <c r="E162"/>
  <c r="R161"/>
  <c r="Q161"/>
  <c r="P161"/>
  <c r="H161"/>
  <c r="G161"/>
  <c r="F161"/>
  <c r="O160"/>
  <c r="E160"/>
  <c r="O159"/>
  <c r="E159"/>
  <c r="O158"/>
  <c r="E158"/>
  <c r="O157"/>
  <c r="E157"/>
  <c r="O156"/>
  <c r="E156"/>
  <c r="O155"/>
  <c r="E155"/>
  <c r="O154"/>
  <c r="E154"/>
  <c r="O153"/>
  <c r="E153"/>
  <c r="O152"/>
  <c r="E152"/>
  <c r="O151"/>
  <c r="E151"/>
  <c r="O150"/>
  <c r="E150"/>
  <c r="O149"/>
  <c r="E149"/>
  <c r="O148"/>
  <c r="E148"/>
  <c r="O147"/>
  <c r="E147"/>
  <c r="O146"/>
  <c r="E146"/>
  <c r="R145"/>
  <c r="Q145"/>
  <c r="P145"/>
  <c r="H145"/>
  <c r="G145"/>
  <c r="F145"/>
  <c r="O144"/>
  <c r="E144"/>
  <c r="O143"/>
  <c r="E143"/>
  <c r="O142"/>
  <c r="E142"/>
  <c r="O141"/>
  <c r="E141"/>
  <c r="O140"/>
  <c r="E140"/>
  <c r="O139"/>
  <c r="E139"/>
  <c r="O138"/>
  <c r="E138"/>
  <c r="O137"/>
  <c r="E137"/>
  <c r="O136"/>
  <c r="E136"/>
  <c r="R135"/>
  <c r="Q135"/>
  <c r="P135"/>
  <c r="H135"/>
  <c r="G135"/>
  <c r="F135"/>
  <c r="O134"/>
  <c r="E134"/>
  <c r="O133"/>
  <c r="E133"/>
  <c r="O132"/>
  <c r="E132"/>
  <c r="O131"/>
  <c r="E131"/>
  <c r="O130"/>
  <c r="E130"/>
  <c r="O129"/>
  <c r="E129"/>
  <c r="O128"/>
  <c r="E128"/>
  <c r="O127"/>
  <c r="E127"/>
  <c r="O126"/>
  <c r="E126"/>
  <c r="O125"/>
  <c r="E125"/>
  <c r="O124"/>
  <c r="E124"/>
  <c r="O123"/>
  <c r="E123"/>
  <c r="O122"/>
  <c r="E122"/>
  <c r="O121"/>
  <c r="E121"/>
  <c r="R120"/>
  <c r="Q120"/>
  <c r="P120"/>
  <c r="H120"/>
  <c r="G120"/>
  <c r="F120"/>
  <c r="O119"/>
  <c r="E119"/>
  <c r="O118"/>
  <c r="E118"/>
  <c r="O117"/>
  <c r="E117"/>
  <c r="O116"/>
  <c r="E116"/>
  <c r="O115"/>
  <c r="E115"/>
  <c r="O114"/>
  <c r="E114"/>
  <c r="O113"/>
  <c r="E113"/>
  <c r="O112"/>
  <c r="E112"/>
  <c r="O111"/>
  <c r="E111"/>
  <c r="O110"/>
  <c r="E110"/>
  <c r="O109"/>
  <c r="E109"/>
  <c r="O108"/>
  <c r="E108"/>
  <c r="O107"/>
  <c r="E107"/>
  <c r="O106"/>
  <c r="E106"/>
  <c r="R105"/>
  <c r="Q105"/>
  <c r="P105"/>
  <c r="H105"/>
  <c r="G105"/>
  <c r="F105"/>
  <c r="O104"/>
  <c r="E104"/>
  <c r="O103"/>
  <c r="E103"/>
  <c r="O102"/>
  <c r="E102"/>
  <c r="O101"/>
  <c r="E101"/>
  <c r="O100"/>
  <c r="E100"/>
  <c r="O99"/>
  <c r="E99"/>
  <c r="O98"/>
  <c r="E98"/>
  <c r="O97"/>
  <c r="E97"/>
  <c r="O96"/>
  <c r="E96"/>
  <c r="O95"/>
  <c r="E95"/>
  <c r="E94"/>
  <c r="O93"/>
  <c r="E93"/>
  <c r="R92"/>
  <c r="Q92"/>
  <c r="H92"/>
  <c r="G92"/>
  <c r="F92"/>
  <c r="O91"/>
  <c r="G91"/>
  <c r="E91" s="1"/>
  <c r="O90"/>
  <c r="E90"/>
  <c r="O89"/>
  <c r="E89"/>
  <c r="O88"/>
  <c r="E88"/>
  <c r="O87"/>
  <c r="E87"/>
  <c r="O86"/>
  <c r="G86"/>
  <c r="E86" s="1"/>
  <c r="O85"/>
  <c r="E85"/>
  <c r="O84"/>
  <c r="G84"/>
  <c r="E84" s="1"/>
  <c r="G83"/>
  <c r="E83" s="1"/>
  <c r="O82"/>
  <c r="G82"/>
  <c r="E82" s="1"/>
  <c r="O81"/>
  <c r="E81"/>
  <c r="O80"/>
  <c r="G80"/>
  <c r="E80" s="1"/>
  <c r="O79"/>
  <c r="E79"/>
  <c r="O78"/>
  <c r="E78"/>
  <c r="O77"/>
  <c r="E77"/>
  <c r="R76"/>
  <c r="Q76"/>
  <c r="P76"/>
  <c r="H76"/>
  <c r="F76"/>
  <c r="O75"/>
  <c r="E75"/>
  <c r="O74"/>
  <c r="E74"/>
  <c r="O73"/>
  <c r="E73"/>
  <c r="O72"/>
  <c r="E72"/>
  <c r="O71"/>
  <c r="E71"/>
  <c r="O70"/>
  <c r="E70"/>
  <c r="O69"/>
  <c r="E69"/>
  <c r="O68"/>
  <c r="E68"/>
  <c r="O67"/>
  <c r="E67"/>
  <c r="O66"/>
  <c r="E66"/>
  <c r="O65"/>
  <c r="E65"/>
  <c r="O64"/>
  <c r="E64"/>
  <c r="O63"/>
  <c r="E63"/>
  <c r="O62"/>
  <c r="E62"/>
  <c r="R61"/>
  <c r="Q61"/>
  <c r="P61"/>
  <c r="H61"/>
  <c r="G61"/>
  <c r="F61"/>
  <c r="O60"/>
  <c r="E60"/>
  <c r="O59"/>
  <c r="E59"/>
  <c r="O58"/>
  <c r="E58"/>
  <c r="O57"/>
  <c r="E57"/>
  <c r="O56"/>
  <c r="E56"/>
  <c r="O55"/>
  <c r="E55"/>
  <c r="O54"/>
  <c r="E54"/>
  <c r="O53"/>
  <c r="E53"/>
  <c r="R52"/>
  <c r="Q52"/>
  <c r="P52"/>
  <c r="H52"/>
  <c r="G52"/>
  <c r="F52"/>
  <c r="O51"/>
  <c r="E51"/>
  <c r="O50"/>
  <c r="E50"/>
  <c r="O49"/>
  <c r="E49"/>
  <c r="O48"/>
  <c r="E48"/>
  <c r="O47"/>
  <c r="E47"/>
  <c r="O46"/>
  <c r="E46"/>
  <c r="O45"/>
  <c r="E45"/>
  <c r="O44"/>
  <c r="E44"/>
  <c r="R43"/>
  <c r="Q43"/>
  <c r="P43"/>
  <c r="H43"/>
  <c r="G43"/>
  <c r="F43"/>
  <c r="O42"/>
  <c r="E42"/>
  <c r="O41"/>
  <c r="E41"/>
  <c r="E40"/>
  <c r="O39"/>
  <c r="E39"/>
  <c r="O38"/>
  <c r="E38"/>
  <c r="O37"/>
  <c r="E37"/>
  <c r="O36"/>
  <c r="E36"/>
  <c r="O35"/>
  <c r="E35"/>
  <c r="O34"/>
  <c r="E34"/>
  <c r="O33"/>
  <c r="E33"/>
  <c r="O32"/>
  <c r="E32"/>
  <c r="O31"/>
  <c r="E31"/>
  <c r="O30"/>
  <c r="E30"/>
  <c r="R29"/>
  <c r="Q29"/>
  <c r="P29"/>
  <c r="H29"/>
  <c r="G29"/>
  <c r="F29"/>
  <c r="O28"/>
  <c r="E28"/>
  <c r="O27"/>
  <c r="E27"/>
  <c r="O26"/>
  <c r="E26"/>
  <c r="O25"/>
  <c r="E25"/>
  <c r="O24"/>
  <c r="E24"/>
  <c r="O23"/>
  <c r="E23"/>
  <c r="O22"/>
  <c r="E22"/>
  <c r="O21"/>
  <c r="E21"/>
  <c r="O20"/>
  <c r="E20"/>
  <c r="O19"/>
  <c r="E19"/>
  <c r="O18"/>
  <c r="E18"/>
  <c r="O17"/>
  <c r="E17"/>
  <c r="O16"/>
  <c r="E16"/>
  <c r="R15"/>
  <c r="Q15"/>
  <c r="P15"/>
  <c r="H15"/>
  <c r="G15"/>
  <c r="F15"/>
  <c r="O11"/>
  <c r="O10" s="1"/>
  <c r="E12"/>
  <c r="R11"/>
  <c r="R10" s="1"/>
  <c r="Q11"/>
  <c r="Q10" s="1"/>
  <c r="P11"/>
  <c r="P10" s="1"/>
  <c r="G11"/>
  <c r="G10" s="1"/>
  <c r="F11"/>
  <c r="F10" s="1"/>
  <c r="H10"/>
  <c r="A3"/>
  <c r="H329" i="1"/>
  <c r="I329"/>
  <c r="J329"/>
  <c r="O329"/>
  <c r="P329"/>
  <c r="AA329"/>
  <c r="K66" i="11"/>
  <c r="A3" i="1"/>
  <c r="O229" i="13" l="1"/>
  <c r="E229"/>
  <c r="E215"/>
  <c r="O52"/>
  <c r="O120"/>
  <c r="O201"/>
  <c r="E201"/>
  <c r="O92"/>
  <c r="E15"/>
  <c r="O161"/>
  <c r="R14"/>
  <c r="R13" s="1"/>
  <c r="R9" s="1"/>
  <c r="E161"/>
  <c r="P92"/>
  <c r="P14" s="1"/>
  <c r="P13" s="1"/>
  <c r="P9" s="1"/>
  <c r="O105"/>
  <c r="O15"/>
  <c r="H14"/>
  <c r="H13" s="1"/>
  <c r="E52"/>
  <c r="F14"/>
  <c r="F13" s="1"/>
  <c r="F9" s="1"/>
  <c r="O29"/>
  <c r="E43"/>
  <c r="O43"/>
  <c r="O61"/>
  <c r="O176"/>
  <c r="E29"/>
  <c r="Q14"/>
  <c r="Q13" s="1"/>
  <c r="Q9" s="1"/>
  <c r="E61"/>
  <c r="E92"/>
  <c r="E120"/>
  <c r="E176"/>
  <c r="H9"/>
  <c r="E11"/>
  <c r="E10" s="1"/>
  <c r="O76"/>
  <c r="E105"/>
  <c r="E135"/>
  <c r="E145"/>
  <c r="E196"/>
  <c r="G76"/>
  <c r="G14" s="1"/>
  <c r="G13" s="1"/>
  <c r="G9" s="1"/>
  <c r="O135"/>
  <c r="O215"/>
  <c r="E76"/>
  <c r="O196"/>
  <c r="O145"/>
  <c r="J9" i="1"/>
  <c r="H324"/>
  <c r="I324"/>
  <c r="J324"/>
  <c r="O324"/>
  <c r="P324"/>
  <c r="AA324"/>
  <c r="W47" i="9"/>
  <c r="X47"/>
  <c r="E14" i="13" l="1"/>
  <c r="E13" s="1"/>
  <c r="E9" s="1"/>
  <c r="O14"/>
  <c r="O13" s="1"/>
  <c r="O9" s="1"/>
  <c r="W69" i="9"/>
  <c r="X69"/>
  <c r="S22"/>
  <c r="T22"/>
  <c r="S23"/>
  <c r="T23"/>
  <c r="S24"/>
  <c r="T24"/>
  <c r="S26"/>
  <c r="T26"/>
  <c r="S27"/>
  <c r="T27"/>
  <c r="S28"/>
  <c r="T28"/>
  <c r="S29"/>
  <c r="T29"/>
  <c r="S31"/>
  <c r="T31"/>
  <c r="S32"/>
  <c r="T32"/>
  <c r="S33"/>
  <c r="T33"/>
  <c r="S34"/>
  <c r="T34"/>
  <c r="S36"/>
  <c r="T36"/>
  <c r="S37"/>
  <c r="T37"/>
  <c r="S38"/>
  <c r="T38"/>
  <c r="S40"/>
  <c r="T40"/>
  <c r="S41"/>
  <c r="T41"/>
  <c r="S43"/>
  <c r="T43"/>
  <c r="S44"/>
  <c r="T44"/>
  <c r="S45"/>
  <c r="T45"/>
  <c r="S47"/>
  <c r="T47"/>
  <c r="S48"/>
  <c r="T48"/>
  <c r="S49"/>
  <c r="T49"/>
  <c r="S51"/>
  <c r="T51"/>
  <c r="S52"/>
  <c r="T52"/>
  <c r="S54"/>
  <c r="T54"/>
  <c r="S55"/>
  <c r="T55"/>
  <c r="S56"/>
  <c r="T56"/>
  <c r="S58"/>
  <c r="T58"/>
  <c r="S60"/>
  <c r="T60"/>
  <c r="S61"/>
  <c r="T61"/>
  <c r="S63"/>
  <c r="T63"/>
  <c r="S64"/>
  <c r="T64"/>
  <c r="S65"/>
  <c r="T65"/>
  <c r="S66"/>
  <c r="T66"/>
  <c r="S68"/>
  <c r="T68"/>
  <c r="S69"/>
  <c r="T69"/>
  <c r="S70"/>
  <c r="T70"/>
  <c r="S72"/>
  <c r="T72"/>
  <c r="S74"/>
  <c r="T74"/>
  <c r="S75"/>
  <c r="T75"/>
  <c r="S77"/>
  <c r="T77"/>
  <c r="S79"/>
  <c r="T79"/>
  <c r="S80"/>
  <c r="T80"/>
  <c r="S81"/>
  <c r="T81"/>
  <c r="S82"/>
  <c r="T82"/>
  <c r="S83"/>
  <c r="T83"/>
  <c r="S84"/>
  <c r="T84"/>
  <c r="T5"/>
  <c r="N78"/>
  <c r="N76" s="1"/>
  <c r="N73" s="1"/>
  <c r="N71" s="1"/>
  <c r="N67"/>
  <c r="N62"/>
  <c r="N59" s="1"/>
  <c r="N57" s="1"/>
  <c r="N53"/>
  <c r="N50" s="1"/>
  <c r="N46"/>
  <c r="N42"/>
  <c r="N39" s="1"/>
  <c r="N35"/>
  <c r="N30"/>
  <c r="N25"/>
  <c r="K77" l="1"/>
  <c r="G77"/>
  <c r="R77" s="1"/>
  <c r="K75"/>
  <c r="G75"/>
  <c r="K74"/>
  <c r="G74"/>
  <c r="R74" s="1"/>
  <c r="K72"/>
  <c r="G72"/>
  <c r="K70"/>
  <c r="G70"/>
  <c r="K69"/>
  <c r="G69"/>
  <c r="K68"/>
  <c r="G68"/>
  <c r="R68" s="1"/>
  <c r="K66"/>
  <c r="G66"/>
  <c r="K65"/>
  <c r="G65"/>
  <c r="R65" s="1"/>
  <c r="K64"/>
  <c r="G64"/>
  <c r="K63"/>
  <c r="G63"/>
  <c r="K61"/>
  <c r="G61"/>
  <c r="K60"/>
  <c r="G60"/>
  <c r="R60" s="1"/>
  <c r="K58"/>
  <c r="G58"/>
  <c r="K56"/>
  <c r="G56"/>
  <c r="R56" s="1"/>
  <c r="K55"/>
  <c r="G55"/>
  <c r="K54"/>
  <c r="G54"/>
  <c r="K52"/>
  <c r="G52"/>
  <c r="K51"/>
  <c r="G51"/>
  <c r="R51" s="1"/>
  <c r="K49"/>
  <c r="G49"/>
  <c r="K48"/>
  <c r="G48"/>
  <c r="R48" s="1"/>
  <c r="K47"/>
  <c r="G47"/>
  <c r="K45"/>
  <c r="G45"/>
  <c r="K44"/>
  <c r="G44"/>
  <c r="K43"/>
  <c r="G43"/>
  <c r="R43" s="1"/>
  <c r="K41"/>
  <c r="G41"/>
  <c r="K40"/>
  <c r="G40"/>
  <c r="R40" s="1"/>
  <c r="K38"/>
  <c r="G38"/>
  <c r="K37"/>
  <c r="G37"/>
  <c r="K36"/>
  <c r="G36"/>
  <c r="K34"/>
  <c r="G34"/>
  <c r="R34" s="1"/>
  <c r="K33"/>
  <c r="G33"/>
  <c r="K32"/>
  <c r="G32"/>
  <c r="R32" s="1"/>
  <c r="K31"/>
  <c r="G31"/>
  <c r="K29"/>
  <c r="G29"/>
  <c r="K28"/>
  <c r="G28"/>
  <c r="K27"/>
  <c r="G27"/>
  <c r="R27" s="1"/>
  <c r="K26"/>
  <c r="G26"/>
  <c r="K24"/>
  <c r="G24"/>
  <c r="R24" s="1"/>
  <c r="K23"/>
  <c r="G23"/>
  <c r="K22"/>
  <c r="G22"/>
  <c r="K24" i="12"/>
  <c r="L24"/>
  <c r="M24"/>
  <c r="K25"/>
  <c r="L25"/>
  <c r="M25"/>
  <c r="K26"/>
  <c r="L26"/>
  <c r="M26"/>
  <c r="L23"/>
  <c r="M23"/>
  <c r="K23"/>
  <c r="K29"/>
  <c r="L29"/>
  <c r="M29"/>
  <c r="L28"/>
  <c r="M28"/>
  <c r="K28"/>
  <c r="K32"/>
  <c r="L32"/>
  <c r="M32"/>
  <c r="L31"/>
  <c r="M31"/>
  <c r="K31"/>
  <c r="L34"/>
  <c r="M34"/>
  <c r="K34"/>
  <c r="K37"/>
  <c r="L37"/>
  <c r="M37"/>
  <c r="K38"/>
  <c r="L38"/>
  <c r="M38"/>
  <c r="L36"/>
  <c r="M36"/>
  <c r="K36"/>
  <c r="K41"/>
  <c r="L41"/>
  <c r="M41"/>
  <c r="K42"/>
  <c r="M42"/>
  <c r="L40"/>
  <c r="M40"/>
  <c r="K40"/>
  <c r="K45"/>
  <c r="L45"/>
  <c r="M45"/>
  <c r="L44"/>
  <c r="M44"/>
  <c r="K44"/>
  <c r="K48"/>
  <c r="L48"/>
  <c r="M48"/>
  <c r="K49"/>
  <c r="L49"/>
  <c r="M49"/>
  <c r="L47"/>
  <c r="M47"/>
  <c r="K47"/>
  <c r="K52"/>
  <c r="L52"/>
  <c r="M52"/>
  <c r="K53"/>
  <c r="L53"/>
  <c r="M53"/>
  <c r="L51"/>
  <c r="M51"/>
  <c r="K51"/>
  <c r="K56"/>
  <c r="L56"/>
  <c r="M56"/>
  <c r="L55"/>
  <c r="M55"/>
  <c r="K55"/>
  <c r="K59"/>
  <c r="L59"/>
  <c r="M59"/>
  <c r="K60"/>
  <c r="L60"/>
  <c r="M60"/>
  <c r="K61"/>
  <c r="L61"/>
  <c r="M61"/>
  <c r="K62"/>
  <c r="L62"/>
  <c r="M62"/>
  <c r="L58"/>
  <c r="M58"/>
  <c r="K58"/>
  <c r="K65"/>
  <c r="L65"/>
  <c r="M65"/>
  <c r="K66"/>
  <c r="L66"/>
  <c r="M66"/>
  <c r="L64"/>
  <c r="M64"/>
  <c r="K64"/>
  <c r="K69"/>
  <c r="L69"/>
  <c r="M69"/>
  <c r="K70"/>
  <c r="L70"/>
  <c r="M70"/>
  <c r="K71"/>
  <c r="L71"/>
  <c r="M71"/>
  <c r="K72"/>
  <c r="L72"/>
  <c r="M72"/>
  <c r="K73"/>
  <c r="L73"/>
  <c r="M73"/>
  <c r="K74"/>
  <c r="L74"/>
  <c r="M74"/>
  <c r="L68"/>
  <c r="M68"/>
  <c r="K68"/>
  <c r="L76"/>
  <c r="M76"/>
  <c r="K76"/>
  <c r="K79"/>
  <c r="L79"/>
  <c r="M79"/>
  <c r="K80"/>
  <c r="L80"/>
  <c r="M80"/>
  <c r="K81"/>
  <c r="L81"/>
  <c r="M81"/>
  <c r="M78"/>
  <c r="L78"/>
  <c r="K78"/>
  <c r="K84"/>
  <c r="L84"/>
  <c r="M84"/>
  <c r="K85"/>
  <c r="L85"/>
  <c r="M85"/>
  <c r="L83"/>
  <c r="M83"/>
  <c r="K83"/>
  <c r="K88"/>
  <c r="L88"/>
  <c r="M88"/>
  <c r="K89"/>
  <c r="L89"/>
  <c r="M89"/>
  <c r="K90"/>
  <c r="L90"/>
  <c r="M90"/>
  <c r="K91"/>
  <c r="L91"/>
  <c r="M91"/>
  <c r="K92"/>
  <c r="L92"/>
  <c r="M92"/>
  <c r="L87"/>
  <c r="M87"/>
  <c r="K87"/>
  <c r="F44"/>
  <c r="F45"/>
  <c r="G46"/>
  <c r="H46"/>
  <c r="I46"/>
  <c r="K92" i="11"/>
  <c r="L92"/>
  <c r="M92"/>
  <c r="K93"/>
  <c r="L93"/>
  <c r="M93"/>
  <c r="K94"/>
  <c r="L94"/>
  <c r="M94"/>
  <c r="K95"/>
  <c r="L95"/>
  <c r="M95"/>
  <c r="K96"/>
  <c r="L96"/>
  <c r="M96"/>
  <c r="K97"/>
  <c r="L97"/>
  <c r="M97"/>
  <c r="K98"/>
  <c r="L98"/>
  <c r="M98"/>
  <c r="K99"/>
  <c r="L99"/>
  <c r="M99"/>
  <c r="L91"/>
  <c r="M91"/>
  <c r="K91"/>
  <c r="K87"/>
  <c r="L87"/>
  <c r="M87"/>
  <c r="K88"/>
  <c r="L88"/>
  <c r="M88"/>
  <c r="K89"/>
  <c r="L89"/>
  <c r="M89"/>
  <c r="L86"/>
  <c r="M86"/>
  <c r="K86"/>
  <c r="K82"/>
  <c r="L82"/>
  <c r="M82"/>
  <c r="K83"/>
  <c r="L83"/>
  <c r="M83"/>
  <c r="K84"/>
  <c r="L84"/>
  <c r="M84"/>
  <c r="L81"/>
  <c r="M81"/>
  <c r="K81"/>
  <c r="L79"/>
  <c r="M79"/>
  <c r="K79"/>
  <c r="K76"/>
  <c r="L76"/>
  <c r="M76"/>
  <c r="K77"/>
  <c r="L77"/>
  <c r="M77"/>
  <c r="L75"/>
  <c r="M75"/>
  <c r="K75"/>
  <c r="K71"/>
  <c r="L71"/>
  <c r="M71"/>
  <c r="K72"/>
  <c r="L72"/>
  <c r="M72"/>
  <c r="K73"/>
  <c r="L73"/>
  <c r="M73"/>
  <c r="L70"/>
  <c r="M70"/>
  <c r="K70"/>
  <c r="L66"/>
  <c r="M66"/>
  <c r="K67"/>
  <c r="L67"/>
  <c r="M67"/>
  <c r="K68"/>
  <c r="L68"/>
  <c r="M68"/>
  <c r="L65"/>
  <c r="M65"/>
  <c r="K65"/>
  <c r="K62"/>
  <c r="L62"/>
  <c r="M62"/>
  <c r="K63"/>
  <c r="L63"/>
  <c r="M63"/>
  <c r="L61"/>
  <c r="M61"/>
  <c r="K61"/>
  <c r="K58"/>
  <c r="L58"/>
  <c r="M58"/>
  <c r="K59"/>
  <c r="L59"/>
  <c r="M59"/>
  <c r="L57"/>
  <c r="M57"/>
  <c r="K57"/>
  <c r="K53"/>
  <c r="L53"/>
  <c r="M53"/>
  <c r="K54"/>
  <c r="L54"/>
  <c r="M54"/>
  <c r="K55"/>
  <c r="L55"/>
  <c r="M55"/>
  <c r="L52"/>
  <c r="M52"/>
  <c r="K52"/>
  <c r="K50"/>
  <c r="L50"/>
  <c r="M50"/>
  <c r="L49"/>
  <c r="M49"/>
  <c r="K49"/>
  <c r="K44"/>
  <c r="L44"/>
  <c r="M44"/>
  <c r="K45"/>
  <c r="M45"/>
  <c r="K46"/>
  <c r="L46"/>
  <c r="M46"/>
  <c r="K47"/>
  <c r="L47"/>
  <c r="M47"/>
  <c r="M43"/>
  <c r="K43"/>
  <c r="K38"/>
  <c r="L38"/>
  <c r="M38"/>
  <c r="K39"/>
  <c r="L39"/>
  <c r="M39"/>
  <c r="K40"/>
  <c r="L40"/>
  <c r="M40"/>
  <c r="K41"/>
  <c r="L41"/>
  <c r="M41"/>
  <c r="L37"/>
  <c r="M37"/>
  <c r="K37"/>
  <c r="K35"/>
  <c r="L35"/>
  <c r="M35"/>
  <c r="L34"/>
  <c r="M34"/>
  <c r="K34"/>
  <c r="L32"/>
  <c r="M32"/>
  <c r="K32"/>
  <c r="K28"/>
  <c r="L28"/>
  <c r="M28"/>
  <c r="K29"/>
  <c r="L29"/>
  <c r="M29"/>
  <c r="K30"/>
  <c r="L30"/>
  <c r="M30"/>
  <c r="L27"/>
  <c r="M27"/>
  <c r="K27"/>
  <c r="K24"/>
  <c r="L24"/>
  <c r="M24"/>
  <c r="K25"/>
  <c r="L25"/>
  <c r="M25"/>
  <c r="L23"/>
  <c r="M23"/>
  <c r="K23"/>
  <c r="O100" i="10"/>
  <c r="P100"/>
  <c r="Q100"/>
  <c r="O101"/>
  <c r="P101"/>
  <c r="Q101"/>
  <c r="O102"/>
  <c r="P102"/>
  <c r="Q102"/>
  <c r="O103"/>
  <c r="P103"/>
  <c r="Q103"/>
  <c r="O104"/>
  <c r="P104"/>
  <c r="Q104"/>
  <c r="O105"/>
  <c r="P105"/>
  <c r="Q105"/>
  <c r="O106"/>
  <c r="P106"/>
  <c r="Q106"/>
  <c r="O107"/>
  <c r="P107"/>
  <c r="Q107"/>
  <c r="O108"/>
  <c r="P108"/>
  <c r="Q108"/>
  <c r="O109"/>
  <c r="P109"/>
  <c r="Q109"/>
  <c r="P99"/>
  <c r="Q99"/>
  <c r="O99"/>
  <c r="O94"/>
  <c r="P94"/>
  <c r="Q94"/>
  <c r="O95"/>
  <c r="P95"/>
  <c r="Q95"/>
  <c r="O96"/>
  <c r="P96"/>
  <c r="Q96"/>
  <c r="O97"/>
  <c r="P97"/>
  <c r="Q97"/>
  <c r="P93"/>
  <c r="Q93"/>
  <c r="O93"/>
  <c r="O90"/>
  <c r="P90"/>
  <c r="Q90"/>
  <c r="O91"/>
  <c r="P91"/>
  <c r="Q91"/>
  <c r="P89"/>
  <c r="Q89"/>
  <c r="O89"/>
  <c r="P87"/>
  <c r="Q87"/>
  <c r="O87"/>
  <c r="O81"/>
  <c r="P81"/>
  <c r="Q81"/>
  <c r="O82"/>
  <c r="P82"/>
  <c r="Q82"/>
  <c r="O83"/>
  <c r="P83"/>
  <c r="Q83"/>
  <c r="O84"/>
  <c r="P84"/>
  <c r="Q84"/>
  <c r="O85"/>
  <c r="P85"/>
  <c r="Q85"/>
  <c r="P80"/>
  <c r="Q80"/>
  <c r="O80"/>
  <c r="O76"/>
  <c r="P76"/>
  <c r="Q76"/>
  <c r="O77"/>
  <c r="P77"/>
  <c r="Q77"/>
  <c r="P75"/>
  <c r="Q75"/>
  <c r="O75"/>
  <c r="O71"/>
  <c r="P71"/>
  <c r="Q71"/>
  <c r="O72"/>
  <c r="P72"/>
  <c r="Q72"/>
  <c r="O73"/>
  <c r="P73"/>
  <c r="Q73"/>
  <c r="P70"/>
  <c r="Q70"/>
  <c r="O70"/>
  <c r="O67"/>
  <c r="P67"/>
  <c r="Q67"/>
  <c r="O68"/>
  <c r="P68"/>
  <c r="Q68"/>
  <c r="P66"/>
  <c r="Q66"/>
  <c r="O66"/>
  <c r="O61"/>
  <c r="P61"/>
  <c r="Q61"/>
  <c r="O62"/>
  <c r="P62"/>
  <c r="Q62"/>
  <c r="O63"/>
  <c r="P63"/>
  <c r="Q63"/>
  <c r="O64"/>
  <c r="P64"/>
  <c r="Q64"/>
  <c r="P60"/>
  <c r="Q60"/>
  <c r="O60"/>
  <c r="O55"/>
  <c r="P55"/>
  <c r="Q55"/>
  <c r="O56"/>
  <c r="P56"/>
  <c r="Q56"/>
  <c r="O57"/>
  <c r="P57"/>
  <c r="Q57"/>
  <c r="O58"/>
  <c r="P58"/>
  <c r="Q58"/>
  <c r="P54"/>
  <c r="Q54"/>
  <c r="O54"/>
  <c r="O48"/>
  <c r="P48"/>
  <c r="Q48"/>
  <c r="O49"/>
  <c r="P49"/>
  <c r="Q49"/>
  <c r="O50"/>
  <c r="P50"/>
  <c r="Q50"/>
  <c r="O51"/>
  <c r="P51"/>
  <c r="Q51"/>
  <c r="P47"/>
  <c r="Q47"/>
  <c r="O47"/>
  <c r="O42"/>
  <c r="P42"/>
  <c r="Q42"/>
  <c r="O43"/>
  <c r="Q43"/>
  <c r="O44"/>
  <c r="Q44"/>
  <c r="Q41"/>
  <c r="O41"/>
  <c r="O37"/>
  <c r="P37"/>
  <c r="Q37"/>
  <c r="O38"/>
  <c r="P38"/>
  <c r="Q38"/>
  <c r="O39"/>
  <c r="P39"/>
  <c r="Q39"/>
  <c r="P36"/>
  <c r="Q36"/>
  <c r="O36"/>
  <c r="O34"/>
  <c r="P34"/>
  <c r="Q34"/>
  <c r="P33"/>
  <c r="Q33"/>
  <c r="O33"/>
  <c r="P31"/>
  <c r="Q31"/>
  <c r="O31"/>
  <c r="O28"/>
  <c r="P28"/>
  <c r="Q28"/>
  <c r="O29"/>
  <c r="P29"/>
  <c r="Q29"/>
  <c r="P27"/>
  <c r="Q27"/>
  <c r="O27"/>
  <c r="O24"/>
  <c r="P24"/>
  <c r="Q24"/>
  <c r="O25"/>
  <c r="P25"/>
  <c r="Q25"/>
  <c r="P23"/>
  <c r="Q23"/>
  <c r="O23"/>
  <c r="G52"/>
  <c r="H52"/>
  <c r="I52"/>
  <c r="K52"/>
  <c r="L52"/>
  <c r="M52"/>
  <c r="G78"/>
  <c r="H78"/>
  <c r="I78"/>
  <c r="K78"/>
  <c r="L78"/>
  <c r="M78"/>
  <c r="P79"/>
  <c r="O79"/>
  <c r="J79"/>
  <c r="J78" s="1"/>
  <c r="F79"/>
  <c r="P53"/>
  <c r="O53"/>
  <c r="N53" s="1"/>
  <c r="J53"/>
  <c r="J52" s="1"/>
  <c r="F53"/>
  <c r="J45" i="12" l="1"/>
  <c r="N79" i="10"/>
  <c r="R22" i="9"/>
  <c r="R37"/>
  <c r="R45"/>
  <c r="R54"/>
  <c r="R63"/>
  <c r="R70"/>
  <c r="P78" i="10"/>
  <c r="J30" i="11"/>
  <c r="O52" i="10"/>
  <c r="O78"/>
  <c r="R23" i="9"/>
  <c r="R38"/>
  <c r="Q52" i="10"/>
  <c r="P52"/>
  <c r="M46" i="12"/>
  <c r="L46"/>
  <c r="R41" i="9"/>
  <c r="J44" i="12"/>
  <c r="V47" i="9"/>
  <c r="R47"/>
  <c r="R26"/>
  <c r="R28"/>
  <c r="R33"/>
  <c r="R36"/>
  <c r="R44"/>
  <c r="R49"/>
  <c r="R52"/>
  <c r="R58"/>
  <c r="R61"/>
  <c r="R64"/>
  <c r="R66"/>
  <c r="R69"/>
  <c r="R75"/>
  <c r="V69"/>
  <c r="R29"/>
  <c r="R31"/>
  <c r="R55"/>
  <c r="R72"/>
  <c r="K46" i="12"/>
  <c r="Q78" i="10"/>
  <c r="K45"/>
  <c r="L45"/>
  <c r="M45"/>
  <c r="G45"/>
  <c r="H45"/>
  <c r="I45"/>
  <c r="Q45"/>
  <c r="J46"/>
  <c r="J45" s="1"/>
  <c r="P46"/>
  <c r="P45" s="1"/>
  <c r="O46"/>
  <c r="O45" s="1"/>
  <c r="F46"/>
  <c r="N46" l="1"/>
  <c r="J92" i="12"/>
  <c r="F92"/>
  <c r="J91"/>
  <c r="F91"/>
  <c r="J90"/>
  <c r="F90"/>
  <c r="J89"/>
  <c r="F89"/>
  <c r="J88"/>
  <c r="F88"/>
  <c r="J87"/>
  <c r="F87"/>
  <c r="M86"/>
  <c r="L86"/>
  <c r="K86"/>
  <c r="I86"/>
  <c r="H86"/>
  <c r="G86"/>
  <c r="J85"/>
  <c r="F85"/>
  <c r="J84"/>
  <c r="F84"/>
  <c r="J83"/>
  <c r="F83"/>
  <c r="M82"/>
  <c r="L82"/>
  <c r="K82"/>
  <c r="I82"/>
  <c r="H82"/>
  <c r="G82"/>
  <c r="J81"/>
  <c r="F81"/>
  <c r="J80"/>
  <c r="F80"/>
  <c r="J79"/>
  <c r="F79"/>
  <c r="J78"/>
  <c r="F78"/>
  <c r="M77"/>
  <c r="L77"/>
  <c r="K77"/>
  <c r="I77"/>
  <c r="H77"/>
  <c r="G77"/>
  <c r="J76"/>
  <c r="F76"/>
  <c r="M75"/>
  <c r="L75"/>
  <c r="K75"/>
  <c r="I75"/>
  <c r="H75"/>
  <c r="G75"/>
  <c r="J74"/>
  <c r="F74"/>
  <c r="J73"/>
  <c r="F73"/>
  <c r="J72"/>
  <c r="F72"/>
  <c r="J71"/>
  <c r="F71"/>
  <c r="J70"/>
  <c r="F70"/>
  <c r="J69"/>
  <c r="F69"/>
  <c r="J68"/>
  <c r="F68"/>
  <c r="M67"/>
  <c r="L67"/>
  <c r="K67"/>
  <c r="I67"/>
  <c r="H67"/>
  <c r="G67"/>
  <c r="J66"/>
  <c r="F66"/>
  <c r="J65"/>
  <c r="F65"/>
  <c r="J64"/>
  <c r="F64"/>
  <c r="M63"/>
  <c r="L63"/>
  <c r="K63"/>
  <c r="I63"/>
  <c r="H63"/>
  <c r="G63"/>
  <c r="J62"/>
  <c r="F62"/>
  <c r="J61"/>
  <c r="F61"/>
  <c r="J60"/>
  <c r="F60"/>
  <c r="J59"/>
  <c r="F59"/>
  <c r="J58"/>
  <c r="F58"/>
  <c r="M57"/>
  <c r="L57"/>
  <c r="K57"/>
  <c r="I57"/>
  <c r="H57"/>
  <c r="G57"/>
  <c r="J56"/>
  <c r="F56"/>
  <c r="J55"/>
  <c r="F55"/>
  <c r="M54"/>
  <c r="L54"/>
  <c r="K54"/>
  <c r="I54"/>
  <c r="H54"/>
  <c r="G54"/>
  <c r="J53"/>
  <c r="F53"/>
  <c r="J52"/>
  <c r="F52"/>
  <c r="J51"/>
  <c r="F51"/>
  <c r="M50"/>
  <c r="L50"/>
  <c r="K50"/>
  <c r="I50"/>
  <c r="H50"/>
  <c r="G50"/>
  <c r="J49"/>
  <c r="F49"/>
  <c r="J48"/>
  <c r="F48"/>
  <c r="J47"/>
  <c r="F47"/>
  <c r="M43"/>
  <c r="L43"/>
  <c r="K43"/>
  <c r="I43"/>
  <c r="H43"/>
  <c r="G43"/>
  <c r="H42"/>
  <c r="J41"/>
  <c r="F41"/>
  <c r="J40"/>
  <c r="F40"/>
  <c r="M39"/>
  <c r="K39"/>
  <c r="I39"/>
  <c r="G39"/>
  <c r="J38"/>
  <c r="F38"/>
  <c r="J37"/>
  <c r="F37"/>
  <c r="J36"/>
  <c r="F36"/>
  <c r="M35"/>
  <c r="L35"/>
  <c r="K35"/>
  <c r="I35"/>
  <c r="H35"/>
  <c r="G35"/>
  <c r="J34"/>
  <c r="F34"/>
  <c r="M33"/>
  <c r="L33"/>
  <c r="K33"/>
  <c r="I33"/>
  <c r="H33"/>
  <c r="G33"/>
  <c r="J32"/>
  <c r="F32"/>
  <c r="J31"/>
  <c r="F31"/>
  <c r="M30"/>
  <c r="L30"/>
  <c r="K30"/>
  <c r="I30"/>
  <c r="H30"/>
  <c r="G30"/>
  <c r="J29"/>
  <c r="F29"/>
  <c r="J28"/>
  <c r="F28"/>
  <c r="M27"/>
  <c r="L27"/>
  <c r="K27"/>
  <c r="I27"/>
  <c r="H27"/>
  <c r="G27"/>
  <c r="J26"/>
  <c r="F26"/>
  <c r="J25"/>
  <c r="F25"/>
  <c r="J24"/>
  <c r="F24"/>
  <c r="J23"/>
  <c r="F23"/>
  <c r="M22"/>
  <c r="L22"/>
  <c r="K22"/>
  <c r="I22"/>
  <c r="H22"/>
  <c r="G22"/>
  <c r="J18"/>
  <c r="J17" s="1"/>
  <c r="F18"/>
  <c r="F17" s="1"/>
  <c r="M17"/>
  <c r="L17"/>
  <c r="K17"/>
  <c r="I17"/>
  <c r="H17"/>
  <c r="G17"/>
  <c r="J16"/>
  <c r="J15" s="1"/>
  <c r="F16"/>
  <c r="F15" s="1"/>
  <c r="M15"/>
  <c r="L15"/>
  <c r="K15"/>
  <c r="I15"/>
  <c r="H15"/>
  <c r="G15"/>
  <c r="J14"/>
  <c r="F14"/>
  <c r="M13"/>
  <c r="L13"/>
  <c r="K13"/>
  <c r="H13"/>
  <c r="G13"/>
  <c r="J12"/>
  <c r="F12"/>
  <c r="J11"/>
  <c r="F11"/>
  <c r="M10"/>
  <c r="L10"/>
  <c r="K10"/>
  <c r="H10"/>
  <c r="G10"/>
  <c r="J9"/>
  <c r="J8" s="1"/>
  <c r="F9"/>
  <c r="M8"/>
  <c r="L8"/>
  <c r="K8"/>
  <c r="H8"/>
  <c r="G8"/>
  <c r="J99" i="11"/>
  <c r="F99"/>
  <c r="J98"/>
  <c r="F98"/>
  <c r="J97"/>
  <c r="F97"/>
  <c r="J96"/>
  <c r="F96"/>
  <c r="J95"/>
  <c r="F95"/>
  <c r="J94"/>
  <c r="F94"/>
  <c r="J93"/>
  <c r="F93"/>
  <c r="J92"/>
  <c r="F92"/>
  <c r="J91"/>
  <c r="F91"/>
  <c r="M90"/>
  <c r="L90"/>
  <c r="K90"/>
  <c r="I90"/>
  <c r="H90"/>
  <c r="G90"/>
  <c r="J89"/>
  <c r="F89"/>
  <c r="J88"/>
  <c r="F88"/>
  <c r="J87"/>
  <c r="F87"/>
  <c r="J86"/>
  <c r="F86"/>
  <c r="M85"/>
  <c r="L85"/>
  <c r="K85"/>
  <c r="I85"/>
  <c r="H85"/>
  <c r="G85"/>
  <c r="J84"/>
  <c r="F84"/>
  <c r="J83"/>
  <c r="F83"/>
  <c r="J82"/>
  <c r="F82"/>
  <c r="J81"/>
  <c r="F81"/>
  <c r="M80"/>
  <c r="L80"/>
  <c r="K80"/>
  <c r="I80"/>
  <c r="H80"/>
  <c r="G80"/>
  <c r="J79"/>
  <c r="F79"/>
  <c r="M78"/>
  <c r="L78"/>
  <c r="K78"/>
  <c r="I78"/>
  <c r="H78"/>
  <c r="G78"/>
  <c r="J77"/>
  <c r="F77"/>
  <c r="J76"/>
  <c r="F76"/>
  <c r="J75"/>
  <c r="F75"/>
  <c r="M74"/>
  <c r="L74"/>
  <c r="K74"/>
  <c r="I74"/>
  <c r="H74"/>
  <c r="G74"/>
  <c r="J73"/>
  <c r="F73"/>
  <c r="J72"/>
  <c r="F72"/>
  <c r="J71"/>
  <c r="F71"/>
  <c r="J70"/>
  <c r="F70"/>
  <c r="M69"/>
  <c r="L69"/>
  <c r="K69"/>
  <c r="I69"/>
  <c r="H69"/>
  <c r="G69"/>
  <c r="J68"/>
  <c r="F68"/>
  <c r="J67"/>
  <c r="F67"/>
  <c r="J66"/>
  <c r="F66"/>
  <c r="J65"/>
  <c r="F65"/>
  <c r="M64"/>
  <c r="L64"/>
  <c r="K64"/>
  <c r="I64"/>
  <c r="H64"/>
  <c r="G64"/>
  <c r="J63"/>
  <c r="F63"/>
  <c r="J62"/>
  <c r="F62"/>
  <c r="J61"/>
  <c r="F61"/>
  <c r="M60"/>
  <c r="L60"/>
  <c r="K60"/>
  <c r="I60"/>
  <c r="H60"/>
  <c r="G60"/>
  <c r="J59"/>
  <c r="F59"/>
  <c r="J58"/>
  <c r="F58"/>
  <c r="J57"/>
  <c r="F57"/>
  <c r="M56"/>
  <c r="L56"/>
  <c r="K56"/>
  <c r="I56"/>
  <c r="H56"/>
  <c r="G56"/>
  <c r="J55"/>
  <c r="F55"/>
  <c r="J54"/>
  <c r="F54"/>
  <c r="J53"/>
  <c r="F53"/>
  <c r="J52"/>
  <c r="F52"/>
  <c r="M51"/>
  <c r="L51"/>
  <c r="K51"/>
  <c r="I51"/>
  <c r="H51"/>
  <c r="G51"/>
  <c r="J50"/>
  <c r="F50"/>
  <c r="J49"/>
  <c r="F49"/>
  <c r="M48"/>
  <c r="L48"/>
  <c r="K48"/>
  <c r="I48"/>
  <c r="H48"/>
  <c r="G48"/>
  <c r="J47"/>
  <c r="F47"/>
  <c r="J46"/>
  <c r="F46"/>
  <c r="H45"/>
  <c r="J44"/>
  <c r="F44"/>
  <c r="H43"/>
  <c r="M42"/>
  <c r="K42"/>
  <c r="I42"/>
  <c r="G42"/>
  <c r="J41"/>
  <c r="F41"/>
  <c r="J40"/>
  <c r="F40"/>
  <c r="J39"/>
  <c r="F39"/>
  <c r="J38"/>
  <c r="F38"/>
  <c r="J37"/>
  <c r="F37"/>
  <c r="M36"/>
  <c r="L36"/>
  <c r="K36"/>
  <c r="I36"/>
  <c r="H36"/>
  <c r="G36"/>
  <c r="J35"/>
  <c r="F35"/>
  <c r="J34"/>
  <c r="F34"/>
  <c r="M33"/>
  <c r="L33"/>
  <c r="K33"/>
  <c r="I33"/>
  <c r="H33"/>
  <c r="G33"/>
  <c r="J32"/>
  <c r="F32"/>
  <c r="M31"/>
  <c r="L31"/>
  <c r="K31"/>
  <c r="I31"/>
  <c r="H31"/>
  <c r="G31"/>
  <c r="F30"/>
  <c r="J29"/>
  <c r="F29"/>
  <c r="J28"/>
  <c r="F28"/>
  <c r="J27"/>
  <c r="F27"/>
  <c r="M26"/>
  <c r="L26"/>
  <c r="K26"/>
  <c r="I26"/>
  <c r="H26"/>
  <c r="G26"/>
  <c r="J25"/>
  <c r="F25"/>
  <c r="J24"/>
  <c r="F24"/>
  <c r="J23"/>
  <c r="F23"/>
  <c r="M22"/>
  <c r="L22"/>
  <c r="K22"/>
  <c r="I22"/>
  <c r="H22"/>
  <c r="G22"/>
  <c r="J18"/>
  <c r="J17" s="1"/>
  <c r="F18"/>
  <c r="F17" s="1"/>
  <c r="M17"/>
  <c r="L17"/>
  <c r="K17"/>
  <c r="I17"/>
  <c r="H17"/>
  <c r="G17"/>
  <c r="J16"/>
  <c r="J15" s="1"/>
  <c r="F16"/>
  <c r="F15" s="1"/>
  <c r="M15"/>
  <c r="L15"/>
  <c r="K15"/>
  <c r="I15"/>
  <c r="H15"/>
  <c r="G15"/>
  <c r="J14"/>
  <c r="F14"/>
  <c r="M13"/>
  <c r="L13"/>
  <c r="K13"/>
  <c r="H13"/>
  <c r="G13"/>
  <c r="J12"/>
  <c r="F12"/>
  <c r="J11"/>
  <c r="F11"/>
  <c r="M10"/>
  <c r="L10"/>
  <c r="K10"/>
  <c r="H10"/>
  <c r="G10"/>
  <c r="J9"/>
  <c r="J8" s="1"/>
  <c r="F9"/>
  <c r="M8"/>
  <c r="L8"/>
  <c r="K8"/>
  <c r="H8"/>
  <c r="G8"/>
  <c r="N109" i="10"/>
  <c r="F109"/>
  <c r="N108"/>
  <c r="F108"/>
  <c r="N107"/>
  <c r="F107"/>
  <c r="N106"/>
  <c r="F106"/>
  <c r="N105"/>
  <c r="F105"/>
  <c r="N104"/>
  <c r="F104"/>
  <c r="N103"/>
  <c r="F103"/>
  <c r="N102"/>
  <c r="F102"/>
  <c r="N101"/>
  <c r="F101"/>
  <c r="N100"/>
  <c r="F100"/>
  <c r="N99"/>
  <c r="F99"/>
  <c r="Q98"/>
  <c r="P98"/>
  <c r="O98"/>
  <c r="I98"/>
  <c r="H98"/>
  <c r="G98"/>
  <c r="N97"/>
  <c r="F97"/>
  <c r="N96"/>
  <c r="F96"/>
  <c r="N95"/>
  <c r="F95"/>
  <c r="N94"/>
  <c r="F94"/>
  <c r="N93"/>
  <c r="F93"/>
  <c r="Q92"/>
  <c r="P92"/>
  <c r="O92"/>
  <c r="I92"/>
  <c r="H92"/>
  <c r="G92"/>
  <c r="N91"/>
  <c r="F91"/>
  <c r="N90"/>
  <c r="F90"/>
  <c r="N89"/>
  <c r="F89"/>
  <c r="Q88"/>
  <c r="P88"/>
  <c r="O88"/>
  <c r="I88"/>
  <c r="H88"/>
  <c r="G88"/>
  <c r="N87"/>
  <c r="F87"/>
  <c r="Q86"/>
  <c r="P86"/>
  <c r="O86"/>
  <c r="I86"/>
  <c r="H86"/>
  <c r="G86"/>
  <c r="N85"/>
  <c r="F85"/>
  <c r="N84"/>
  <c r="F84"/>
  <c r="N83"/>
  <c r="F83"/>
  <c r="N82"/>
  <c r="F82"/>
  <c r="N81"/>
  <c r="F81"/>
  <c r="N80"/>
  <c r="F80"/>
  <c r="N77"/>
  <c r="F77"/>
  <c r="N76"/>
  <c r="F76"/>
  <c r="N75"/>
  <c r="F75"/>
  <c r="Q74"/>
  <c r="P74"/>
  <c r="O74"/>
  <c r="I74"/>
  <c r="H74"/>
  <c r="G74"/>
  <c r="N73"/>
  <c r="F73"/>
  <c r="N72"/>
  <c r="F72"/>
  <c r="N71"/>
  <c r="F71"/>
  <c r="N70"/>
  <c r="F70"/>
  <c r="Q69"/>
  <c r="P69"/>
  <c r="O69"/>
  <c r="I69"/>
  <c r="H69"/>
  <c r="G69"/>
  <c r="N68"/>
  <c r="F68"/>
  <c r="N67"/>
  <c r="F67"/>
  <c r="N66"/>
  <c r="F66"/>
  <c r="Q65"/>
  <c r="P65"/>
  <c r="O65"/>
  <c r="I65"/>
  <c r="H65"/>
  <c r="G65"/>
  <c r="N64"/>
  <c r="F64"/>
  <c r="N63"/>
  <c r="F63"/>
  <c r="N62"/>
  <c r="F62"/>
  <c r="N61"/>
  <c r="F61"/>
  <c r="N60"/>
  <c r="F60"/>
  <c r="Q59"/>
  <c r="P59"/>
  <c r="O59"/>
  <c r="I59"/>
  <c r="H59"/>
  <c r="G59"/>
  <c r="N58"/>
  <c r="F58"/>
  <c r="N57"/>
  <c r="F57"/>
  <c r="N56"/>
  <c r="F56"/>
  <c r="N55"/>
  <c r="F55"/>
  <c r="N54"/>
  <c r="F54"/>
  <c r="N51"/>
  <c r="F51"/>
  <c r="N50"/>
  <c r="F50"/>
  <c r="N49"/>
  <c r="F49"/>
  <c r="N48"/>
  <c r="F48"/>
  <c r="N47"/>
  <c r="F47"/>
  <c r="H44"/>
  <c r="H43"/>
  <c r="N42"/>
  <c r="F42"/>
  <c r="H41"/>
  <c r="Q40"/>
  <c r="O40"/>
  <c r="I40"/>
  <c r="G40"/>
  <c r="N39"/>
  <c r="F39"/>
  <c r="N38"/>
  <c r="F38"/>
  <c r="N37"/>
  <c r="F37"/>
  <c r="N36"/>
  <c r="F36"/>
  <c r="Q35"/>
  <c r="P35"/>
  <c r="O35"/>
  <c r="I35"/>
  <c r="H35"/>
  <c r="G35"/>
  <c r="N34"/>
  <c r="F34"/>
  <c r="N33"/>
  <c r="F33"/>
  <c r="Q32"/>
  <c r="P32"/>
  <c r="O32"/>
  <c r="I32"/>
  <c r="H32"/>
  <c r="G32"/>
  <c r="N31"/>
  <c r="F31"/>
  <c r="Q30"/>
  <c r="P30"/>
  <c r="O30"/>
  <c r="I30"/>
  <c r="H30"/>
  <c r="G30"/>
  <c r="N29"/>
  <c r="F29"/>
  <c r="N28"/>
  <c r="F28"/>
  <c r="N27"/>
  <c r="F27"/>
  <c r="Q26"/>
  <c r="P26"/>
  <c r="O26"/>
  <c r="I26"/>
  <c r="H26"/>
  <c r="G26"/>
  <c r="N25"/>
  <c r="F25"/>
  <c r="N24"/>
  <c r="F24"/>
  <c r="N23"/>
  <c r="F23"/>
  <c r="Q22"/>
  <c r="P22"/>
  <c r="O22"/>
  <c r="I22"/>
  <c r="H22"/>
  <c r="G22"/>
  <c r="N18"/>
  <c r="N17" s="1"/>
  <c r="F18"/>
  <c r="F17" s="1"/>
  <c r="Q17"/>
  <c r="P17"/>
  <c r="O17"/>
  <c r="I17"/>
  <c r="H17"/>
  <c r="G17"/>
  <c r="N16"/>
  <c r="N15" s="1"/>
  <c r="F16"/>
  <c r="F15" s="1"/>
  <c r="Q15"/>
  <c r="P15"/>
  <c r="O15"/>
  <c r="I15"/>
  <c r="H15"/>
  <c r="G15"/>
  <c r="N14"/>
  <c r="F14"/>
  <c r="Q13"/>
  <c r="P13"/>
  <c r="O13"/>
  <c r="H13"/>
  <c r="G13"/>
  <c r="N12"/>
  <c r="F12"/>
  <c r="N11"/>
  <c r="F11"/>
  <c r="Q10"/>
  <c r="P10"/>
  <c r="O10"/>
  <c r="H10"/>
  <c r="G10"/>
  <c r="N9"/>
  <c r="N8" s="1"/>
  <c r="F9"/>
  <c r="Q8"/>
  <c r="P8"/>
  <c r="O8"/>
  <c r="H8"/>
  <c r="G8"/>
  <c r="K84" i="9"/>
  <c r="G84"/>
  <c r="K83"/>
  <c r="G83"/>
  <c r="K82"/>
  <c r="G82"/>
  <c r="K81"/>
  <c r="G81"/>
  <c r="K80"/>
  <c r="G80"/>
  <c r="K79"/>
  <c r="G79"/>
  <c r="M78"/>
  <c r="L78"/>
  <c r="J78"/>
  <c r="I78"/>
  <c r="H78"/>
  <c r="M76"/>
  <c r="L76"/>
  <c r="J76"/>
  <c r="I76"/>
  <c r="H76"/>
  <c r="M73"/>
  <c r="L73"/>
  <c r="J73"/>
  <c r="I73"/>
  <c r="T73" s="1"/>
  <c r="H73"/>
  <c r="S73" s="1"/>
  <c r="M71"/>
  <c r="L71"/>
  <c r="J71"/>
  <c r="I71"/>
  <c r="T71" s="1"/>
  <c r="H71"/>
  <c r="M67"/>
  <c r="L67"/>
  <c r="J67"/>
  <c r="I67"/>
  <c r="H67"/>
  <c r="M62"/>
  <c r="L62"/>
  <c r="J62"/>
  <c r="I62"/>
  <c r="H62"/>
  <c r="M59"/>
  <c r="L59"/>
  <c r="J59"/>
  <c r="I59"/>
  <c r="H59"/>
  <c r="M57"/>
  <c r="L57"/>
  <c r="J57"/>
  <c r="I57"/>
  <c r="T57" s="1"/>
  <c r="H57"/>
  <c r="M53"/>
  <c r="L53"/>
  <c r="J53"/>
  <c r="I53"/>
  <c r="H53"/>
  <c r="M50"/>
  <c r="L50"/>
  <c r="J50"/>
  <c r="I50"/>
  <c r="H50"/>
  <c r="M46"/>
  <c r="L46"/>
  <c r="J46"/>
  <c r="I46"/>
  <c r="H46"/>
  <c r="M42"/>
  <c r="L42"/>
  <c r="J42"/>
  <c r="H42"/>
  <c r="M39"/>
  <c r="L39"/>
  <c r="J39"/>
  <c r="I39"/>
  <c r="T39" s="1"/>
  <c r="H39"/>
  <c r="M35"/>
  <c r="L35"/>
  <c r="J35"/>
  <c r="I35"/>
  <c r="H35"/>
  <c r="M30"/>
  <c r="L30"/>
  <c r="J30"/>
  <c r="I30"/>
  <c r="H30"/>
  <c r="S30" s="1"/>
  <c r="M25"/>
  <c r="L25"/>
  <c r="J25"/>
  <c r="I25"/>
  <c r="H25"/>
  <c r="N21"/>
  <c r="N20" s="1"/>
  <c r="N19" s="1"/>
  <c r="M21"/>
  <c r="L21"/>
  <c r="J21"/>
  <c r="I21"/>
  <c r="H21"/>
  <c r="K18"/>
  <c r="K17" s="1"/>
  <c r="G18"/>
  <c r="G17" s="1"/>
  <c r="N17"/>
  <c r="M17"/>
  <c r="L17"/>
  <c r="J17"/>
  <c r="I17"/>
  <c r="H17"/>
  <c r="K16"/>
  <c r="K15" s="1"/>
  <c r="G16"/>
  <c r="G15" s="1"/>
  <c r="N15"/>
  <c r="M15"/>
  <c r="L15"/>
  <c r="J15"/>
  <c r="I15"/>
  <c r="H15"/>
  <c r="K14"/>
  <c r="G14"/>
  <c r="N13"/>
  <c r="M13"/>
  <c r="L13"/>
  <c r="I13"/>
  <c r="H13"/>
  <c r="K12"/>
  <c r="G12"/>
  <c r="K11"/>
  <c r="G11"/>
  <c r="N10"/>
  <c r="M10"/>
  <c r="L10"/>
  <c r="I10"/>
  <c r="H10"/>
  <c r="K9"/>
  <c r="K8" s="1"/>
  <c r="G9"/>
  <c r="N8"/>
  <c r="M8"/>
  <c r="L8"/>
  <c r="I8"/>
  <c r="H8"/>
  <c r="G259" i="1"/>
  <c r="G258"/>
  <c r="G15"/>
  <c r="N258"/>
  <c r="G16"/>
  <c r="G263"/>
  <c r="G262"/>
  <c r="E23" i="7"/>
  <c r="E73"/>
  <c r="G45"/>
  <c r="C45" s="1"/>
  <c r="E52"/>
  <c r="E53"/>
  <c r="E56"/>
  <c r="E55"/>
  <c r="E54"/>
  <c r="E51"/>
  <c r="E50"/>
  <c r="D55"/>
  <c r="E40"/>
  <c r="E42"/>
  <c r="E41"/>
  <c r="R82" i="9" l="1"/>
  <c r="R84"/>
  <c r="AD257" i="1"/>
  <c r="AN252" i="19"/>
  <c r="AN251" i="18"/>
  <c r="AN251" i="16"/>
  <c r="AD225" i="1"/>
  <c r="AN223" i="19"/>
  <c r="AN222" i="18"/>
  <c r="AN222" i="16"/>
  <c r="AE164" i="1"/>
  <c r="AO163" i="19"/>
  <c r="AO162" i="18"/>
  <c r="AO162" i="16"/>
  <c r="AD241" i="1"/>
  <c r="AN238" i="19"/>
  <c r="AN237" i="18"/>
  <c r="AN237" i="16"/>
  <c r="T25" i="9"/>
  <c r="AD55" i="1"/>
  <c r="AN56" i="19"/>
  <c r="AN55" i="18"/>
  <c r="AN55" i="16"/>
  <c r="AD137" i="1"/>
  <c r="AN136" i="19"/>
  <c r="AN135" i="18"/>
  <c r="AN135" i="16"/>
  <c r="S62" i="9"/>
  <c r="AE241" i="1"/>
  <c r="AO238" i="19"/>
  <c r="AO237" i="18"/>
  <c r="AO237" i="16"/>
  <c r="AE55" i="1"/>
  <c r="AO56" i="19"/>
  <c r="AO55" i="18"/>
  <c r="AO55" i="16"/>
  <c r="AE137" i="1"/>
  <c r="AO136" i="19"/>
  <c r="AO135" i="18"/>
  <c r="AO135" i="16"/>
  <c r="AD220" i="1"/>
  <c r="AN218" i="19"/>
  <c r="AN217" i="18"/>
  <c r="AN217" i="16"/>
  <c r="AN31" i="19"/>
  <c r="AN30" i="18"/>
  <c r="AN30" i="16"/>
  <c r="AN105" i="19"/>
  <c r="AN104" i="18"/>
  <c r="AN104" i="16"/>
  <c r="S57" i="9"/>
  <c r="AE220" i="1"/>
  <c r="AO218" i="19"/>
  <c r="AO217" i="18"/>
  <c r="AO217" i="16"/>
  <c r="T78" i="9"/>
  <c r="F45" i="10"/>
  <c r="AN69" i="19"/>
  <c r="AN68" i="18"/>
  <c r="AN68" i="16"/>
  <c r="AE69" i="1"/>
  <c r="AO69" i="19"/>
  <c r="AO68" i="18"/>
  <c r="AO68" i="16"/>
  <c r="AN46" i="19"/>
  <c r="AN45" i="18"/>
  <c r="AN45" i="16"/>
  <c r="AD120" i="1"/>
  <c r="AN120" i="19"/>
  <c r="AN119" i="18"/>
  <c r="AN119" i="16"/>
  <c r="AE225" i="1"/>
  <c r="AO223" i="19"/>
  <c r="AO222" i="18"/>
  <c r="AO222" i="16"/>
  <c r="AO105" i="19"/>
  <c r="AO104" i="18"/>
  <c r="AO104" i="16"/>
  <c r="AN181" i="19"/>
  <c r="AN180" i="18"/>
  <c r="AN180" i="16"/>
  <c r="AE183" i="1"/>
  <c r="AO181" i="19"/>
  <c r="AO180" i="18"/>
  <c r="AO180" i="16"/>
  <c r="AO252" i="19"/>
  <c r="AO251" i="18"/>
  <c r="AO251" i="16"/>
  <c r="AN15" i="19"/>
  <c r="AN14" i="18"/>
  <c r="AN14" i="16"/>
  <c r="AE120" i="1"/>
  <c r="AO120" i="19"/>
  <c r="AO119" i="18"/>
  <c r="AO119" i="16"/>
  <c r="AD200" i="1"/>
  <c r="AN198" i="19"/>
  <c r="AN197" i="18"/>
  <c r="AN197" i="16"/>
  <c r="AO15" i="19"/>
  <c r="AO14" i="18"/>
  <c r="AO14" i="16"/>
  <c r="AD84" i="1"/>
  <c r="AN84" i="19"/>
  <c r="AN83" i="18"/>
  <c r="AN83" i="16"/>
  <c r="AE200" i="1"/>
  <c r="AO198" i="19"/>
  <c r="AO197" i="18"/>
  <c r="AO197" i="16"/>
  <c r="AO31" i="19"/>
  <c r="AO30" i="18"/>
  <c r="AO30" i="16"/>
  <c r="AN152" i="19"/>
  <c r="AN151" i="18"/>
  <c r="AN151" i="16"/>
  <c r="AO152" i="19"/>
  <c r="AO151" i="18"/>
  <c r="AO151" i="16"/>
  <c r="AE45" i="1"/>
  <c r="AO46" i="19"/>
  <c r="AO45" i="18"/>
  <c r="AO45" i="16"/>
  <c r="T35" i="9"/>
  <c r="T53"/>
  <c r="AN163" i="19"/>
  <c r="AN162" i="18"/>
  <c r="AN162" i="16"/>
  <c r="S71" i="9"/>
  <c r="L20"/>
  <c r="L19" s="1"/>
  <c r="T59"/>
  <c r="S76"/>
  <c r="R80"/>
  <c r="F41" i="10"/>
  <c r="P41"/>
  <c r="F45" i="11"/>
  <c r="L45"/>
  <c r="J45" s="1"/>
  <c r="F43" i="10"/>
  <c r="P43"/>
  <c r="N43" s="1"/>
  <c r="F42" i="12"/>
  <c r="F39" s="1"/>
  <c r="L42"/>
  <c r="J6" i="9"/>
  <c r="AE30" i="1"/>
  <c r="AD183"/>
  <c r="F52" i="10"/>
  <c r="F44"/>
  <c r="P44"/>
  <c r="N44" s="1"/>
  <c r="AD153" i="1"/>
  <c r="AE257"/>
  <c r="AE153"/>
  <c r="F43" i="11"/>
  <c r="F42" s="1"/>
  <c r="L43"/>
  <c r="AD45" i="1"/>
  <c r="S42" i="9"/>
  <c r="S59"/>
  <c r="F78" i="10"/>
  <c r="AD164" i="1"/>
  <c r="AD105"/>
  <c r="W46" i="9"/>
  <c r="AE14" i="1"/>
  <c r="M20" i="9"/>
  <c r="M19" s="1"/>
  <c r="J20"/>
  <c r="J19" s="1"/>
  <c r="R79"/>
  <c r="R83"/>
  <c r="H20"/>
  <c r="H19" s="1"/>
  <c r="T30"/>
  <c r="S35"/>
  <c r="S53"/>
  <c r="T62"/>
  <c r="T76"/>
  <c r="S78"/>
  <c r="AE105" i="1"/>
  <c r="X46" i="9"/>
  <c r="T21"/>
  <c r="R81"/>
  <c r="AD30" i="1"/>
  <c r="S25" i="9"/>
  <c r="AD69" i="1"/>
  <c r="S39" i="9"/>
  <c r="AD14" i="1"/>
  <c r="S21" i="9"/>
  <c r="F67" i="12"/>
  <c r="F46"/>
  <c r="J46"/>
  <c r="F77"/>
  <c r="F82"/>
  <c r="J82"/>
  <c r="J86"/>
  <c r="J67"/>
  <c r="J75"/>
  <c r="M7"/>
  <c r="M6" s="1"/>
  <c r="G21"/>
  <c r="G20" s="1"/>
  <c r="G19" s="1"/>
  <c r="F27"/>
  <c r="F35"/>
  <c r="F43"/>
  <c r="F50"/>
  <c r="F63"/>
  <c r="K7"/>
  <c r="K6" s="1"/>
  <c r="F22"/>
  <c r="J54"/>
  <c r="J22"/>
  <c r="F54"/>
  <c r="F57"/>
  <c r="J63"/>
  <c r="H7"/>
  <c r="H6" s="1"/>
  <c r="F30"/>
  <c r="J10"/>
  <c r="J7" s="1"/>
  <c r="K21"/>
  <c r="J30"/>
  <c r="J35"/>
  <c r="J43"/>
  <c r="J50"/>
  <c r="I8"/>
  <c r="J13"/>
  <c r="I6"/>
  <c r="F8"/>
  <c r="L7"/>
  <c r="L6" s="1"/>
  <c r="M21"/>
  <c r="M20" s="1"/>
  <c r="M19" s="1"/>
  <c r="J27"/>
  <c r="F33"/>
  <c r="J57"/>
  <c r="J77"/>
  <c r="F13"/>
  <c r="J33"/>
  <c r="F75"/>
  <c r="F86"/>
  <c r="F10"/>
  <c r="I21"/>
  <c r="I20" s="1"/>
  <c r="I19" s="1"/>
  <c r="J69" i="11"/>
  <c r="I6"/>
  <c r="J33"/>
  <c r="H7"/>
  <c r="H6" s="1"/>
  <c r="G7"/>
  <c r="G6" s="1"/>
  <c r="F69"/>
  <c r="F74"/>
  <c r="J48"/>
  <c r="J56"/>
  <c r="J74"/>
  <c r="J78"/>
  <c r="J22"/>
  <c r="J26"/>
  <c r="F31"/>
  <c r="F36"/>
  <c r="F51"/>
  <c r="F60"/>
  <c r="F64"/>
  <c r="F85"/>
  <c r="J51"/>
  <c r="J60"/>
  <c r="J64"/>
  <c r="J80"/>
  <c r="J85"/>
  <c r="J90"/>
  <c r="F26"/>
  <c r="J10"/>
  <c r="J7" s="1"/>
  <c r="M21"/>
  <c r="M20" s="1"/>
  <c r="M19" s="1"/>
  <c r="L7"/>
  <c r="L6" s="1"/>
  <c r="J13"/>
  <c r="F48"/>
  <c r="F56"/>
  <c r="F78"/>
  <c r="I8"/>
  <c r="F8"/>
  <c r="K7"/>
  <c r="K6" s="1"/>
  <c r="F10"/>
  <c r="I21"/>
  <c r="I20" s="1"/>
  <c r="I19" s="1"/>
  <c r="F33"/>
  <c r="F90"/>
  <c r="F13"/>
  <c r="G21"/>
  <c r="G20" s="1"/>
  <c r="G19" s="1"/>
  <c r="M7"/>
  <c r="M6" s="1"/>
  <c r="F22"/>
  <c r="K21"/>
  <c r="J31"/>
  <c r="J36"/>
  <c r="F80"/>
  <c r="N78" i="10"/>
  <c r="N52"/>
  <c r="N45"/>
  <c r="F59"/>
  <c r="N26"/>
  <c r="F65"/>
  <c r="F74"/>
  <c r="F92"/>
  <c r="F98"/>
  <c r="F26"/>
  <c r="N59"/>
  <c r="G21"/>
  <c r="G20" s="1"/>
  <c r="G19" s="1"/>
  <c r="N13"/>
  <c r="F22"/>
  <c r="I8"/>
  <c r="O21"/>
  <c r="O20" s="1"/>
  <c r="O19" s="1"/>
  <c r="N22"/>
  <c r="F32"/>
  <c r="N65"/>
  <c r="N69"/>
  <c r="N74"/>
  <c r="N88"/>
  <c r="N98"/>
  <c r="F86"/>
  <c r="N30"/>
  <c r="N35"/>
  <c r="N92"/>
  <c r="F13"/>
  <c r="N32"/>
  <c r="F40"/>
  <c r="N86"/>
  <c r="F8"/>
  <c r="F10"/>
  <c r="Q7"/>
  <c r="Q6" s="1"/>
  <c r="F30"/>
  <c r="F35"/>
  <c r="F69"/>
  <c r="F88"/>
  <c r="O7"/>
  <c r="O6" s="1"/>
  <c r="I6"/>
  <c r="I21"/>
  <c r="I20" s="1"/>
  <c r="I19" s="1"/>
  <c r="Q21"/>
  <c r="Q20" s="1"/>
  <c r="Q19" s="1"/>
  <c r="P7"/>
  <c r="P6" s="1"/>
  <c r="N10"/>
  <c r="N7" s="1"/>
  <c r="H7"/>
  <c r="H6" s="1"/>
  <c r="G46" i="9"/>
  <c r="G53"/>
  <c r="G76"/>
  <c r="S5"/>
  <c r="K21"/>
  <c r="K35"/>
  <c r="G30"/>
  <c r="K46"/>
  <c r="K53"/>
  <c r="G62"/>
  <c r="G67"/>
  <c r="G73"/>
  <c r="K76"/>
  <c r="K78"/>
  <c r="G35"/>
  <c r="G21"/>
  <c r="K39"/>
  <c r="I42"/>
  <c r="I20" s="1"/>
  <c r="I19" s="1"/>
  <c r="K50"/>
  <c r="K57"/>
  <c r="K67"/>
  <c r="K71"/>
  <c r="K30"/>
  <c r="G39"/>
  <c r="K42"/>
  <c r="G50"/>
  <c r="G57"/>
  <c r="R57" s="1"/>
  <c r="G59"/>
  <c r="K62"/>
  <c r="K10"/>
  <c r="K7" s="1"/>
  <c r="H7"/>
  <c r="H6" s="1"/>
  <c r="N7"/>
  <c r="N6" s="1"/>
  <c r="G13"/>
  <c r="L7"/>
  <c r="L6" s="1"/>
  <c r="K25"/>
  <c r="G25"/>
  <c r="I7"/>
  <c r="I6" s="1"/>
  <c r="K13"/>
  <c r="G10"/>
  <c r="M7"/>
  <c r="M6" s="1"/>
  <c r="G42"/>
  <c r="G71"/>
  <c r="G78"/>
  <c r="K59"/>
  <c r="K73"/>
  <c r="H39" i="12"/>
  <c r="H21" s="1"/>
  <c r="H20" s="1"/>
  <c r="H19" s="1"/>
  <c r="G7"/>
  <c r="G6" s="1"/>
  <c r="H42" i="11"/>
  <c r="H21" s="1"/>
  <c r="H20" s="1"/>
  <c r="H19" s="1"/>
  <c r="H40" i="10"/>
  <c r="H21" s="1"/>
  <c r="H20" s="1"/>
  <c r="H19" s="1"/>
  <c r="G7"/>
  <c r="G6" s="1"/>
  <c r="J8" i="9"/>
  <c r="G8"/>
  <c r="G56" i="1"/>
  <c r="N56"/>
  <c r="G17"/>
  <c r="G49"/>
  <c r="N122"/>
  <c r="N121"/>
  <c r="G121"/>
  <c r="G59"/>
  <c r="N58"/>
  <c r="G58"/>
  <c r="G57"/>
  <c r="AD15"/>
  <c r="AD16" s="1"/>
  <c r="H30"/>
  <c r="AD31" s="1"/>
  <c r="AD32" s="1"/>
  <c r="G275"/>
  <c r="N333"/>
  <c r="G333"/>
  <c r="N332"/>
  <c r="G332"/>
  <c r="N331"/>
  <c r="G331"/>
  <c r="N330"/>
  <c r="G330"/>
  <c r="N328"/>
  <c r="G328"/>
  <c r="N327"/>
  <c r="G327"/>
  <c r="N326"/>
  <c r="G326"/>
  <c r="N325"/>
  <c r="G325"/>
  <c r="N323"/>
  <c r="N322" s="1"/>
  <c r="G323"/>
  <c r="G322" s="1"/>
  <c r="AA322"/>
  <c r="P322"/>
  <c r="O322"/>
  <c r="J322"/>
  <c r="I322"/>
  <c r="H322"/>
  <c r="N321"/>
  <c r="G321"/>
  <c r="N320"/>
  <c r="G320"/>
  <c r="N319"/>
  <c r="I319"/>
  <c r="I316" s="1"/>
  <c r="H319"/>
  <c r="H316" s="1"/>
  <c r="N318"/>
  <c r="G318"/>
  <c r="N317"/>
  <c r="G317"/>
  <c r="AA316"/>
  <c r="P316"/>
  <c r="O316"/>
  <c r="J316"/>
  <c r="G315"/>
  <c r="N314"/>
  <c r="N313" s="1"/>
  <c r="G314"/>
  <c r="AA313"/>
  <c r="P313"/>
  <c r="O313"/>
  <c r="J313"/>
  <c r="I313"/>
  <c r="H313"/>
  <c r="N312"/>
  <c r="G312"/>
  <c r="G311"/>
  <c r="N310"/>
  <c r="G310"/>
  <c r="N309"/>
  <c r="G309"/>
  <c r="N308"/>
  <c r="G308"/>
  <c r="N307"/>
  <c r="N306"/>
  <c r="G306"/>
  <c r="N305"/>
  <c r="N304"/>
  <c r="G304"/>
  <c r="G302"/>
  <c r="N301"/>
  <c r="G301"/>
  <c r="G299"/>
  <c r="N298"/>
  <c r="G298"/>
  <c r="AA296"/>
  <c r="P296"/>
  <c r="O296"/>
  <c r="J296"/>
  <c r="I296"/>
  <c r="H296"/>
  <c r="G295"/>
  <c r="G294" s="1"/>
  <c r="AA294"/>
  <c r="P294"/>
  <c r="O294"/>
  <c r="N294"/>
  <c r="J294"/>
  <c r="I294"/>
  <c r="H294"/>
  <c r="I293"/>
  <c r="I290" s="1"/>
  <c r="H293"/>
  <c r="H290" s="1"/>
  <c r="G292"/>
  <c r="N291"/>
  <c r="N290" s="1"/>
  <c r="G291"/>
  <c r="AA290"/>
  <c r="P290"/>
  <c r="O290"/>
  <c r="J290"/>
  <c r="N11"/>
  <c r="G11"/>
  <c r="AA10"/>
  <c r="AA9" s="1"/>
  <c r="P10"/>
  <c r="P9" s="1"/>
  <c r="O10"/>
  <c r="O9" s="1"/>
  <c r="I10"/>
  <c r="I9" s="1"/>
  <c r="H10"/>
  <c r="H9" s="1"/>
  <c r="R62" i="9" l="1"/>
  <c r="R78"/>
  <c r="AC225" i="1"/>
  <c r="AM223" i="19"/>
  <c r="AM222" i="18"/>
  <c r="AM222" i="16"/>
  <c r="AC200" i="1"/>
  <c r="AM198" i="19"/>
  <c r="AM197" i="18"/>
  <c r="AM197" i="16"/>
  <c r="AM136" i="19"/>
  <c r="AM135" i="18"/>
  <c r="AM135" i="16"/>
  <c r="AC220" i="1"/>
  <c r="AM218" i="19"/>
  <c r="AM217" i="18"/>
  <c r="AM217" i="16"/>
  <c r="AM163" i="19"/>
  <c r="AM162" i="18"/>
  <c r="AM162" i="16"/>
  <c r="AC153" i="1"/>
  <c r="AM152" i="19"/>
  <c r="AM151" i="18"/>
  <c r="AM151" i="16"/>
  <c r="AM105" i="19"/>
  <c r="AM104" i="18"/>
  <c r="AM104" i="16"/>
  <c r="AC120" i="1"/>
  <c r="AM120" i="19"/>
  <c r="AM119" i="18"/>
  <c r="AM119" i="16"/>
  <c r="AM56" i="19"/>
  <c r="AM55" i="18"/>
  <c r="AM55" i="16"/>
  <c r="AM181" i="19"/>
  <c r="AM180" i="18"/>
  <c r="AM180" i="16"/>
  <c r="AM69" i="19"/>
  <c r="AM68" i="18"/>
  <c r="AM68" i="16"/>
  <c r="AM15" i="19"/>
  <c r="AM14" i="18"/>
  <c r="AM14" i="16"/>
  <c r="AM252" i="19"/>
  <c r="AM251" i="18"/>
  <c r="AM251" i="16"/>
  <c r="AC241" i="1"/>
  <c r="AM238" i="19"/>
  <c r="AM237" i="18"/>
  <c r="AM237" i="16"/>
  <c r="R73" i="9"/>
  <c r="AM31" i="19"/>
  <c r="AM30" i="18"/>
  <c r="AM30" i="16"/>
  <c r="AC45" i="1"/>
  <c r="AM46" i="19"/>
  <c r="AM45" i="18"/>
  <c r="AM45" i="16"/>
  <c r="J43" i="11"/>
  <c r="J42" s="1"/>
  <c r="J21" s="1"/>
  <c r="L42"/>
  <c r="L21" s="1"/>
  <c r="L20" s="1"/>
  <c r="L19" s="1"/>
  <c r="AC257" i="1"/>
  <c r="N41" i="10"/>
  <c r="N40" s="1"/>
  <c r="P40"/>
  <c r="AC137" i="1"/>
  <c r="R71" i="9"/>
  <c r="R42"/>
  <c r="AC183" i="1"/>
  <c r="J42" i="12"/>
  <c r="J39" s="1"/>
  <c r="J21" s="1"/>
  <c r="L39"/>
  <c r="L21" s="1"/>
  <c r="N329" i="1"/>
  <c r="N324"/>
  <c r="G329"/>
  <c r="G324"/>
  <c r="K20" i="12"/>
  <c r="K19" s="1"/>
  <c r="T19" i="9"/>
  <c r="K20" i="11"/>
  <c r="K19" s="1"/>
  <c r="T21" i="12"/>
  <c r="AC164" i="1"/>
  <c r="AC105"/>
  <c r="V46" i="9"/>
  <c r="R53"/>
  <c r="R59"/>
  <c r="G20"/>
  <c r="G19" s="1"/>
  <c r="R30"/>
  <c r="R76"/>
  <c r="T42"/>
  <c r="AC14" i="1"/>
  <c r="K20" i="9"/>
  <c r="K19" s="1"/>
  <c r="AC30" i="1"/>
  <c r="R25" i="9"/>
  <c r="AC69" i="1"/>
  <c r="R39" i="9"/>
  <c r="AC55" i="1"/>
  <c r="R35" i="9"/>
  <c r="R21"/>
  <c r="W22"/>
  <c r="J6" i="12"/>
  <c r="F21"/>
  <c r="F20" s="1"/>
  <c r="F19" s="1"/>
  <c r="F7"/>
  <c r="F6" s="1"/>
  <c r="J6" i="11"/>
  <c r="F21"/>
  <c r="F20" s="1"/>
  <c r="F19" s="1"/>
  <c r="F7"/>
  <c r="F6" s="1"/>
  <c r="F7" i="10"/>
  <c r="F6" s="1"/>
  <c r="N6"/>
  <c r="F21"/>
  <c r="F20" s="1"/>
  <c r="F19" s="1"/>
  <c r="K6" i="9"/>
  <c r="G7"/>
  <c r="G6" s="1"/>
  <c r="G313" i="1"/>
  <c r="N296"/>
  <c r="G293"/>
  <c r="G290" s="1"/>
  <c r="G316"/>
  <c r="G296"/>
  <c r="N316"/>
  <c r="N10"/>
  <c r="N9" s="1"/>
  <c r="G319"/>
  <c r="G10"/>
  <c r="G9" s="1"/>
  <c r="AC84" l="1"/>
  <c r="AM83" i="16"/>
  <c r="AO83"/>
  <c r="AO84" i="19"/>
  <c r="AO83" i="18"/>
  <c r="AM83"/>
  <c r="N21" i="10"/>
  <c r="N20" s="1"/>
  <c r="N19" s="1"/>
  <c r="AM84" i="19"/>
  <c r="P21" i="10"/>
  <c r="AE84" i="1"/>
  <c r="L20" i="12"/>
  <c r="L19" s="1"/>
  <c r="U21"/>
  <c r="J20"/>
  <c r="J19" s="1"/>
  <c r="J20" i="11"/>
  <c r="J19" s="1"/>
  <c r="R5" i="9"/>
  <c r="R86"/>
  <c r="E15" i="7"/>
  <c r="E12"/>
  <c r="E13"/>
  <c r="E14"/>
  <c r="E16"/>
  <c r="E17"/>
  <c r="E18"/>
  <c r="E19"/>
  <c r="E20"/>
  <c r="E21"/>
  <c r="O120" i="1"/>
  <c r="S21" i="12" l="1"/>
  <c r="V22" i="9"/>
  <c r="S19"/>
  <c r="P20" i="10"/>
  <c r="P19" s="1"/>
  <c r="U19" i="9"/>
  <c r="X22"/>
  <c r="E30" i="7"/>
  <c r="E24"/>
  <c r="E38"/>
  <c r="E31"/>
  <c r="E58"/>
  <c r="N263" i="1"/>
  <c r="I11" i="7"/>
  <c r="J11"/>
  <c r="G12"/>
  <c r="F48" l="1"/>
  <c r="F44"/>
  <c r="D47"/>
  <c r="G77"/>
  <c r="F77"/>
  <c r="E77"/>
  <c r="D77"/>
  <c r="G76"/>
  <c r="C76" s="1"/>
  <c r="F76"/>
  <c r="E76"/>
  <c r="D76"/>
  <c r="R75"/>
  <c r="Q75"/>
  <c r="P75"/>
  <c r="O75"/>
  <c r="N75"/>
  <c r="M75"/>
  <c r="L75"/>
  <c r="K75"/>
  <c r="J75"/>
  <c r="I75"/>
  <c r="H75"/>
  <c r="G74"/>
  <c r="F74"/>
  <c r="F72" s="1"/>
  <c r="E74"/>
  <c r="E72" s="1"/>
  <c r="D74"/>
  <c r="G73"/>
  <c r="C73" s="1"/>
  <c r="F73"/>
  <c r="D73"/>
  <c r="R72"/>
  <c r="Q72"/>
  <c r="P72"/>
  <c r="O72"/>
  <c r="N72"/>
  <c r="M72"/>
  <c r="L72"/>
  <c r="K72"/>
  <c r="J72"/>
  <c r="I72"/>
  <c r="H72"/>
  <c r="G71"/>
  <c r="C71" s="1"/>
  <c r="F71"/>
  <c r="E71"/>
  <c r="D71"/>
  <c r="D69" s="1"/>
  <c r="G70"/>
  <c r="C70" s="1"/>
  <c r="F70"/>
  <c r="E70"/>
  <c r="D70"/>
  <c r="R69"/>
  <c r="Q69"/>
  <c r="P69"/>
  <c r="O69"/>
  <c r="N69"/>
  <c r="M69"/>
  <c r="L69"/>
  <c r="K69"/>
  <c r="J69"/>
  <c r="I69"/>
  <c r="H69"/>
  <c r="G68"/>
  <c r="F68"/>
  <c r="E68"/>
  <c r="E67" s="1"/>
  <c r="D68"/>
  <c r="D67" s="1"/>
  <c r="C68"/>
  <c r="C67" s="1"/>
  <c r="R67"/>
  <c r="Q67"/>
  <c r="P67"/>
  <c r="O67"/>
  <c r="N67"/>
  <c r="M67"/>
  <c r="L67"/>
  <c r="K67"/>
  <c r="J67"/>
  <c r="I67"/>
  <c r="H67"/>
  <c r="G67"/>
  <c r="F67"/>
  <c r="G66"/>
  <c r="C66" s="1"/>
  <c r="F66"/>
  <c r="E66"/>
  <c r="D66"/>
  <c r="G65"/>
  <c r="C65" s="1"/>
  <c r="F65"/>
  <c r="E65"/>
  <c r="D65"/>
  <c r="R64"/>
  <c r="Q64"/>
  <c r="P64"/>
  <c r="O64"/>
  <c r="N64"/>
  <c r="M64"/>
  <c r="L64"/>
  <c r="K64"/>
  <c r="J64"/>
  <c r="I64"/>
  <c r="H64"/>
  <c r="G63"/>
  <c r="F63"/>
  <c r="E63"/>
  <c r="D63"/>
  <c r="G62"/>
  <c r="F62"/>
  <c r="E62"/>
  <c r="D62"/>
  <c r="C62"/>
  <c r="R61"/>
  <c r="Q61"/>
  <c r="P61"/>
  <c r="O61"/>
  <c r="N61"/>
  <c r="M61"/>
  <c r="L61"/>
  <c r="K61"/>
  <c r="J61"/>
  <c r="I61"/>
  <c r="H61"/>
  <c r="G60"/>
  <c r="C60" s="1"/>
  <c r="F60"/>
  <c r="E60"/>
  <c r="D60"/>
  <c r="G59"/>
  <c r="C59" s="1"/>
  <c r="F59"/>
  <c r="E59"/>
  <c r="D59"/>
  <c r="G58"/>
  <c r="C58" s="1"/>
  <c r="F58"/>
  <c r="D58"/>
  <c r="R57"/>
  <c r="Q57"/>
  <c r="P57"/>
  <c r="O57"/>
  <c r="N57"/>
  <c r="M57"/>
  <c r="L57"/>
  <c r="K57"/>
  <c r="J57"/>
  <c r="I57"/>
  <c r="H57"/>
  <c r="G56"/>
  <c r="C56" s="1"/>
  <c r="F56"/>
  <c r="D56"/>
  <c r="G55"/>
  <c r="C55" s="1"/>
  <c r="F55"/>
  <c r="G54"/>
  <c r="C54" s="1"/>
  <c r="F54"/>
  <c r="D54"/>
  <c r="G53"/>
  <c r="C53" s="1"/>
  <c r="F53"/>
  <c r="D53"/>
  <c r="G52"/>
  <c r="C52" s="1"/>
  <c r="F52"/>
  <c r="D52"/>
  <c r="G51"/>
  <c r="C51" s="1"/>
  <c r="F51"/>
  <c r="D51"/>
  <c r="G50"/>
  <c r="F50"/>
  <c r="D50"/>
  <c r="C50"/>
  <c r="R49"/>
  <c r="Q49"/>
  <c r="P49"/>
  <c r="O49"/>
  <c r="N49"/>
  <c r="M49"/>
  <c r="L49"/>
  <c r="K49"/>
  <c r="J49"/>
  <c r="I49"/>
  <c r="H49"/>
  <c r="E49"/>
  <c r="G48"/>
  <c r="C48" s="1"/>
  <c r="D48"/>
  <c r="G47"/>
  <c r="C47" s="1"/>
  <c r="F47"/>
  <c r="G46"/>
  <c r="C46" s="1"/>
  <c r="F46"/>
  <c r="D46"/>
  <c r="F45"/>
  <c r="E43"/>
  <c r="D45"/>
  <c r="G44"/>
  <c r="C44" s="1"/>
  <c r="D44"/>
  <c r="R43"/>
  <c r="Q43"/>
  <c r="P43"/>
  <c r="O43"/>
  <c r="N43"/>
  <c r="M43"/>
  <c r="L43"/>
  <c r="K43"/>
  <c r="J43"/>
  <c r="I43"/>
  <c r="H43"/>
  <c r="G42"/>
  <c r="G39" s="1"/>
  <c r="F42"/>
  <c r="D42"/>
  <c r="G41"/>
  <c r="F41"/>
  <c r="D41"/>
  <c r="C41"/>
  <c r="G40"/>
  <c r="C40" s="1"/>
  <c r="F40"/>
  <c r="D40"/>
  <c r="R39"/>
  <c r="Q39"/>
  <c r="P39"/>
  <c r="O39"/>
  <c r="N39"/>
  <c r="M39"/>
  <c r="L39"/>
  <c r="K39"/>
  <c r="J39"/>
  <c r="I39"/>
  <c r="H39"/>
  <c r="E39"/>
  <c r="G38"/>
  <c r="C38" s="1"/>
  <c r="C37" s="1"/>
  <c r="F38"/>
  <c r="F37" s="1"/>
  <c r="D38"/>
  <c r="D37" s="1"/>
  <c r="R37"/>
  <c r="Q37"/>
  <c r="P37"/>
  <c r="O37"/>
  <c r="N37"/>
  <c r="M37"/>
  <c r="L37"/>
  <c r="K37"/>
  <c r="J37"/>
  <c r="I37"/>
  <c r="H37"/>
  <c r="G36"/>
  <c r="C36" s="1"/>
  <c r="F36"/>
  <c r="E36"/>
  <c r="D36"/>
  <c r="G35"/>
  <c r="C35" s="1"/>
  <c r="F35"/>
  <c r="E35"/>
  <c r="D35"/>
  <c r="G34"/>
  <c r="C34" s="1"/>
  <c r="F34"/>
  <c r="E34"/>
  <c r="D34"/>
  <c r="G33"/>
  <c r="F33"/>
  <c r="E33"/>
  <c r="D33"/>
  <c r="C33"/>
  <c r="G32"/>
  <c r="F32"/>
  <c r="E32"/>
  <c r="D32"/>
  <c r="G31"/>
  <c r="C31" s="1"/>
  <c r="F31"/>
  <c r="D31"/>
  <c r="G30"/>
  <c r="F30"/>
  <c r="D30"/>
  <c r="C30"/>
  <c r="R29"/>
  <c r="Q29"/>
  <c r="P29"/>
  <c r="O29"/>
  <c r="N29"/>
  <c r="M29"/>
  <c r="L29"/>
  <c r="K29"/>
  <c r="J29"/>
  <c r="I29"/>
  <c r="H29"/>
  <c r="G28"/>
  <c r="C28" s="1"/>
  <c r="F28"/>
  <c r="E28"/>
  <c r="D28"/>
  <c r="G27"/>
  <c r="C27" s="1"/>
  <c r="F27"/>
  <c r="E27"/>
  <c r="D27"/>
  <c r="G26"/>
  <c r="C26" s="1"/>
  <c r="F26"/>
  <c r="E26"/>
  <c r="D26"/>
  <c r="R25"/>
  <c r="Q25"/>
  <c r="P25"/>
  <c r="O25"/>
  <c r="N25"/>
  <c r="M25"/>
  <c r="L25"/>
  <c r="K25"/>
  <c r="J25"/>
  <c r="I25"/>
  <c r="H25"/>
  <c r="G24"/>
  <c r="C24" s="1"/>
  <c r="F24"/>
  <c r="F22" s="1"/>
  <c r="E22"/>
  <c r="D24"/>
  <c r="G23"/>
  <c r="C23" s="1"/>
  <c r="F23"/>
  <c r="D23"/>
  <c r="R22"/>
  <c r="Q22"/>
  <c r="P22"/>
  <c r="O22"/>
  <c r="N22"/>
  <c r="M22"/>
  <c r="L22"/>
  <c r="K22"/>
  <c r="J22"/>
  <c r="I22"/>
  <c r="H22"/>
  <c r="O21"/>
  <c r="C21" s="1"/>
  <c r="F21"/>
  <c r="D21"/>
  <c r="O20"/>
  <c r="C20" s="1"/>
  <c r="F20"/>
  <c r="D20"/>
  <c r="O19"/>
  <c r="C19" s="1"/>
  <c r="F19"/>
  <c r="D19"/>
  <c r="O18"/>
  <c r="C18" s="1"/>
  <c r="F18"/>
  <c r="D18"/>
  <c r="O17"/>
  <c r="F17"/>
  <c r="D17"/>
  <c r="C17"/>
  <c r="O16"/>
  <c r="F16"/>
  <c r="D16"/>
  <c r="C16"/>
  <c r="O15"/>
  <c r="C15" s="1"/>
  <c r="F15"/>
  <c r="D15"/>
  <c r="N14"/>
  <c r="D14"/>
  <c r="N13"/>
  <c r="K13" s="1"/>
  <c r="C13" s="1"/>
  <c r="F13"/>
  <c r="D13"/>
  <c r="F12"/>
  <c r="D12"/>
  <c r="R11"/>
  <c r="Q11"/>
  <c r="P11"/>
  <c r="M11"/>
  <c r="L11"/>
  <c r="H11"/>
  <c r="G11"/>
  <c r="I82" i="6"/>
  <c r="I81" s="1"/>
  <c r="F82"/>
  <c r="F81" s="1"/>
  <c r="E82"/>
  <c r="E81" s="1"/>
  <c r="K81"/>
  <c r="J81"/>
  <c r="H81"/>
  <c r="G81"/>
  <c r="I80"/>
  <c r="F80"/>
  <c r="E80" s="1"/>
  <c r="I79"/>
  <c r="I78"/>
  <c r="F78"/>
  <c r="E78"/>
  <c r="I77"/>
  <c r="I76"/>
  <c r="F76"/>
  <c r="E76" s="1"/>
  <c r="I75"/>
  <c r="I74"/>
  <c r="F74"/>
  <c r="E74" s="1"/>
  <c r="I73"/>
  <c r="I72"/>
  <c r="F72"/>
  <c r="E72"/>
  <c r="I71"/>
  <c r="I70"/>
  <c r="F70"/>
  <c r="E70" s="1"/>
  <c r="I69"/>
  <c r="I68"/>
  <c r="F68"/>
  <c r="E68" s="1"/>
  <c r="I67"/>
  <c r="I66"/>
  <c r="F66"/>
  <c r="E66"/>
  <c r="K64"/>
  <c r="K63" s="1"/>
  <c r="J64"/>
  <c r="H64"/>
  <c r="H63" s="1"/>
  <c r="G64"/>
  <c r="I62"/>
  <c r="I61" s="1"/>
  <c r="F62"/>
  <c r="E62" s="1"/>
  <c r="E61" s="1"/>
  <c r="K61"/>
  <c r="J61"/>
  <c r="H61"/>
  <c r="G61"/>
  <c r="I59"/>
  <c r="F59"/>
  <c r="E59" s="1"/>
  <c r="I58"/>
  <c r="F58"/>
  <c r="E58"/>
  <c r="Q57"/>
  <c r="I57"/>
  <c r="F57"/>
  <c r="E57"/>
  <c r="I56"/>
  <c r="F56"/>
  <c r="E56" s="1"/>
  <c r="I55"/>
  <c r="F55"/>
  <c r="E55" s="1"/>
  <c r="I54"/>
  <c r="F54"/>
  <c r="E54" s="1"/>
  <c r="I53"/>
  <c r="F53"/>
  <c r="E53"/>
  <c r="I52"/>
  <c r="F52"/>
  <c r="E52" s="1"/>
  <c r="I51"/>
  <c r="F51"/>
  <c r="E51"/>
  <c r="I50"/>
  <c r="F50"/>
  <c r="E50" s="1"/>
  <c r="I49"/>
  <c r="F49"/>
  <c r="E49"/>
  <c r="I48"/>
  <c r="F48"/>
  <c r="E48" s="1"/>
  <c r="I47"/>
  <c r="F47"/>
  <c r="E47"/>
  <c r="I46"/>
  <c r="F46"/>
  <c r="E46" s="1"/>
  <c r="I45"/>
  <c r="F45"/>
  <c r="E45" s="1"/>
  <c r="I44"/>
  <c r="F44"/>
  <c r="I43"/>
  <c r="F43"/>
  <c r="E43"/>
  <c r="L42"/>
  <c r="K42"/>
  <c r="J42"/>
  <c r="H42"/>
  <c r="G42"/>
  <c r="L61" s="1"/>
  <c r="F41"/>
  <c r="F40"/>
  <c r="F39"/>
  <c r="F38"/>
  <c r="F37"/>
  <c r="F36"/>
  <c r="F35"/>
  <c r="F34"/>
  <c r="F33"/>
  <c r="F32"/>
  <c r="F31"/>
  <c r="F30"/>
  <c r="F29"/>
  <c r="F28"/>
  <c r="F27"/>
  <c r="F26"/>
  <c r="I25"/>
  <c r="F25"/>
  <c r="I24"/>
  <c r="F24"/>
  <c r="I23"/>
  <c r="F23"/>
  <c r="I22"/>
  <c r="F22"/>
  <c r="I21"/>
  <c r="F21"/>
  <c r="I20"/>
  <c r="F20"/>
  <c r="I19"/>
  <c r="F19"/>
  <c r="I18"/>
  <c r="F18"/>
  <c r="I17"/>
  <c r="F17"/>
  <c r="I16"/>
  <c r="F16"/>
  <c r="I15"/>
  <c r="F15"/>
  <c r="I14"/>
  <c r="F14"/>
  <c r="I13"/>
  <c r="F13"/>
  <c r="I12"/>
  <c r="F12"/>
  <c r="K11"/>
  <c r="K10" s="1"/>
  <c r="J11"/>
  <c r="I11" s="1"/>
  <c r="H11"/>
  <c r="H10" s="1"/>
  <c r="G11"/>
  <c r="G10" s="1"/>
  <c r="E11"/>
  <c r="G63" l="1"/>
  <c r="G60" s="1"/>
  <c r="D25" i="7"/>
  <c r="E69"/>
  <c r="J63" i="6"/>
  <c r="F69" i="7"/>
  <c r="F64" i="6"/>
  <c r="G61" i="7"/>
  <c r="G64"/>
  <c r="F61" i="6"/>
  <c r="K60"/>
  <c r="F63"/>
  <c r="E57" i="7"/>
  <c r="C63"/>
  <c r="I42" i="6"/>
  <c r="R10" i="7"/>
  <c r="C61"/>
  <c r="E64"/>
  <c r="L10"/>
  <c r="F57"/>
  <c r="E61"/>
  <c r="C64"/>
  <c r="P10"/>
  <c r="F25"/>
  <c r="F10" s="1"/>
  <c r="G29"/>
  <c r="J10"/>
  <c r="C25"/>
  <c r="I10" i="6"/>
  <c r="E64"/>
  <c r="E63" s="1"/>
  <c r="E25" i="7"/>
  <c r="D29"/>
  <c r="D49"/>
  <c r="D57"/>
  <c r="D61"/>
  <c r="D64"/>
  <c r="M10"/>
  <c r="F29"/>
  <c r="D43"/>
  <c r="F49"/>
  <c r="F75"/>
  <c r="I64" i="6"/>
  <c r="I63" s="1"/>
  <c r="I60" s="1"/>
  <c r="G25" i="7"/>
  <c r="D39"/>
  <c r="F43"/>
  <c r="F61"/>
  <c r="F64"/>
  <c r="E60" i="6"/>
  <c r="F39" i="7"/>
  <c r="H60" i="6"/>
  <c r="H9" s="1"/>
  <c r="F42"/>
  <c r="Q10" i="7"/>
  <c r="G37"/>
  <c r="C42"/>
  <c r="C39" s="1"/>
  <c r="N11"/>
  <c r="N10" s="1"/>
  <c r="K14"/>
  <c r="C14" s="1"/>
  <c r="F14"/>
  <c r="F11" s="1"/>
  <c r="D22"/>
  <c r="O11"/>
  <c r="O10" s="1"/>
  <c r="G72"/>
  <c r="D72"/>
  <c r="C74"/>
  <c r="C72" s="1"/>
  <c r="C22"/>
  <c r="G22"/>
  <c r="E29"/>
  <c r="C32"/>
  <c r="C29" s="1"/>
  <c r="C57"/>
  <c r="G57"/>
  <c r="E75"/>
  <c r="G75"/>
  <c r="D75"/>
  <c r="E11"/>
  <c r="C12"/>
  <c r="I10"/>
  <c r="D11"/>
  <c r="H10"/>
  <c r="C69"/>
  <c r="G69"/>
  <c r="C77"/>
  <c r="C75" s="1"/>
  <c r="C49"/>
  <c r="G49"/>
  <c r="G43"/>
  <c r="C43"/>
  <c r="K9" i="6"/>
  <c r="F60"/>
  <c r="J60"/>
  <c r="G9"/>
  <c r="J10"/>
  <c r="J9" s="1"/>
  <c r="E44"/>
  <c r="E42" s="1"/>
  <c r="E10" s="1"/>
  <c r="F11"/>
  <c r="F10" s="1"/>
  <c r="F9" l="1"/>
  <c r="I9"/>
  <c r="E9"/>
  <c r="K11" i="7"/>
  <c r="K10" s="1"/>
  <c r="C11"/>
  <c r="C10" s="1"/>
  <c r="H4"/>
  <c r="F4"/>
  <c r="D10"/>
  <c r="E10"/>
  <c r="G10"/>
  <c r="O55" i="1"/>
  <c r="D4" i="7" l="1"/>
  <c r="N123" i="1"/>
  <c r="G123"/>
  <c r="G122"/>
  <c r="G265" l="1"/>
  <c r="N260"/>
  <c r="N259"/>
  <c r="N262"/>
  <c r="G261"/>
  <c r="I103"/>
  <c r="I94"/>
  <c r="I92"/>
  <c r="I91"/>
  <c r="G91" s="1"/>
  <c r="I90"/>
  <c r="G90" s="1"/>
  <c r="I88"/>
  <c r="G41" l="1"/>
  <c r="G40"/>
  <c r="N289" l="1"/>
  <c r="G289"/>
  <c r="N288"/>
  <c r="G288"/>
  <c r="N287"/>
  <c r="G287"/>
  <c r="N286"/>
  <c r="G286"/>
  <c r="N285"/>
  <c r="G285"/>
  <c r="N284"/>
  <c r="G284"/>
  <c r="N283"/>
  <c r="G283"/>
  <c r="N282"/>
  <c r="G282"/>
  <c r="N281"/>
  <c r="G281"/>
  <c r="N280"/>
  <c r="G280"/>
  <c r="N279"/>
  <c r="G279"/>
  <c r="N278"/>
  <c r="G278"/>
  <c r="N277"/>
  <c r="G277"/>
  <c r="N276"/>
  <c r="G276"/>
  <c r="N275"/>
  <c r="N274"/>
  <c r="G274"/>
  <c r="N273"/>
  <c r="G273"/>
  <c r="N272"/>
  <c r="G272"/>
  <c r="N271"/>
  <c r="G271"/>
  <c r="N270"/>
  <c r="G270"/>
  <c r="N269"/>
  <c r="G269"/>
  <c r="N268"/>
  <c r="G268"/>
  <c r="N267"/>
  <c r="G267"/>
  <c r="N266"/>
  <c r="G266"/>
  <c r="N265"/>
  <c r="N264"/>
  <c r="G264"/>
  <c r="N261"/>
  <c r="G260"/>
  <c r="AA257"/>
  <c r="P257"/>
  <c r="O257"/>
  <c r="J257"/>
  <c r="I257"/>
  <c r="AE258" s="1"/>
  <c r="AE259" s="1"/>
  <c r="H257"/>
  <c r="AD258" s="1"/>
  <c r="AD259" s="1"/>
  <c r="N254"/>
  <c r="G254"/>
  <c r="N253"/>
  <c r="G253"/>
  <c r="N252"/>
  <c r="G252"/>
  <c r="N251"/>
  <c r="G251"/>
  <c r="N250"/>
  <c r="G250"/>
  <c r="N249"/>
  <c r="G249"/>
  <c r="N248"/>
  <c r="G248"/>
  <c r="N247"/>
  <c r="G247"/>
  <c r="N246"/>
  <c r="G246"/>
  <c r="N245"/>
  <c r="G245"/>
  <c r="N244"/>
  <c r="G244"/>
  <c r="N243"/>
  <c r="G243"/>
  <c r="N242"/>
  <c r="G242"/>
  <c r="AA241"/>
  <c r="P241"/>
  <c r="O241"/>
  <c r="J241"/>
  <c r="I241"/>
  <c r="H241"/>
  <c r="N238"/>
  <c r="G238"/>
  <c r="N237"/>
  <c r="G237"/>
  <c r="N236"/>
  <c r="G236"/>
  <c r="N235"/>
  <c r="G235"/>
  <c r="N234"/>
  <c r="G234"/>
  <c r="N233"/>
  <c r="G233"/>
  <c r="N232"/>
  <c r="G232"/>
  <c r="N231"/>
  <c r="G231"/>
  <c r="N230"/>
  <c r="G230"/>
  <c r="N229"/>
  <c r="G229"/>
  <c r="N228"/>
  <c r="G228"/>
  <c r="N227"/>
  <c r="G227"/>
  <c r="N226"/>
  <c r="G226"/>
  <c r="AA225"/>
  <c r="P225"/>
  <c r="O225"/>
  <c r="J225"/>
  <c r="I225"/>
  <c r="AE226" s="1"/>
  <c r="AE227" s="1"/>
  <c r="H225"/>
  <c r="AD226" s="1"/>
  <c r="AD227" s="1"/>
  <c r="N224"/>
  <c r="G224"/>
  <c r="N223"/>
  <c r="G223"/>
  <c r="N222"/>
  <c r="G222"/>
  <c r="N221"/>
  <c r="G221"/>
  <c r="AA220"/>
  <c r="P220"/>
  <c r="O220"/>
  <c r="J220"/>
  <c r="I220"/>
  <c r="AE221" s="1"/>
  <c r="AE222" s="1"/>
  <c r="H220"/>
  <c r="AD221" s="1"/>
  <c r="AD222" s="1"/>
  <c r="N219"/>
  <c r="G219"/>
  <c r="N218"/>
  <c r="G218"/>
  <c r="N217"/>
  <c r="G217"/>
  <c r="N216"/>
  <c r="G216"/>
  <c r="N215"/>
  <c r="G215"/>
  <c r="N214"/>
  <c r="G214"/>
  <c r="N213"/>
  <c r="G213"/>
  <c r="N212"/>
  <c r="G212"/>
  <c r="N211"/>
  <c r="G211"/>
  <c r="N210"/>
  <c r="G210"/>
  <c r="N209"/>
  <c r="G209"/>
  <c r="N208"/>
  <c r="G208"/>
  <c r="N207"/>
  <c r="G207"/>
  <c r="N206"/>
  <c r="G206"/>
  <c r="N205"/>
  <c r="G205"/>
  <c r="N204"/>
  <c r="G204"/>
  <c r="G203"/>
  <c r="N202"/>
  <c r="G202"/>
  <c r="N201"/>
  <c r="G201"/>
  <c r="AA200"/>
  <c r="P200"/>
  <c r="O200"/>
  <c r="J200"/>
  <c r="I200"/>
  <c r="AE201" s="1"/>
  <c r="AE202" s="1"/>
  <c r="H200"/>
  <c r="AD201" s="1"/>
  <c r="AD202" s="1"/>
  <c r="N197"/>
  <c r="G197"/>
  <c r="N196"/>
  <c r="G196"/>
  <c r="N195"/>
  <c r="G195"/>
  <c r="N194"/>
  <c r="G194"/>
  <c r="N193"/>
  <c r="G193"/>
  <c r="N192"/>
  <c r="G192"/>
  <c r="N191"/>
  <c r="G191"/>
  <c r="N190"/>
  <c r="G190"/>
  <c r="N189"/>
  <c r="G189"/>
  <c r="N188"/>
  <c r="G188"/>
  <c r="N187"/>
  <c r="G187"/>
  <c r="N186"/>
  <c r="G186"/>
  <c r="N185"/>
  <c r="G185"/>
  <c r="N184"/>
  <c r="G184"/>
  <c r="AA183"/>
  <c r="P183"/>
  <c r="O183"/>
  <c r="J183"/>
  <c r="I183"/>
  <c r="AE184" s="1"/>
  <c r="AE185" s="1"/>
  <c r="H183"/>
  <c r="AD184" s="1"/>
  <c r="AD185" s="1"/>
  <c r="N179"/>
  <c r="G179"/>
  <c r="N178"/>
  <c r="G178"/>
  <c r="N177"/>
  <c r="G177"/>
  <c r="N176"/>
  <c r="G176"/>
  <c r="N175"/>
  <c r="G175"/>
  <c r="N174"/>
  <c r="G174"/>
  <c r="N173"/>
  <c r="G173"/>
  <c r="N172"/>
  <c r="G172"/>
  <c r="N171"/>
  <c r="G171"/>
  <c r="N170"/>
  <c r="G170"/>
  <c r="N169"/>
  <c r="G169"/>
  <c r="N168"/>
  <c r="G168"/>
  <c r="N167"/>
  <c r="G167"/>
  <c r="N166"/>
  <c r="G166"/>
  <c r="N165"/>
  <c r="G165"/>
  <c r="AA164"/>
  <c r="P164"/>
  <c r="O164"/>
  <c r="J164"/>
  <c r="I164"/>
  <c r="AE165" s="1"/>
  <c r="AE166" s="1"/>
  <c r="H164"/>
  <c r="AD165" s="1"/>
  <c r="AD166" s="1"/>
  <c r="N162"/>
  <c r="G162"/>
  <c r="N161"/>
  <c r="G161"/>
  <c r="N160"/>
  <c r="G160"/>
  <c r="N159"/>
  <c r="G159"/>
  <c r="N158"/>
  <c r="G158"/>
  <c r="N157"/>
  <c r="G157"/>
  <c r="N156"/>
  <c r="G156"/>
  <c r="N155"/>
  <c r="G155"/>
  <c r="N154"/>
  <c r="G154"/>
  <c r="AA153"/>
  <c r="P153"/>
  <c r="O153"/>
  <c r="J153"/>
  <c r="I153"/>
  <c r="AE154" s="1"/>
  <c r="AE155" s="1"/>
  <c r="H153"/>
  <c r="AD154" s="1"/>
  <c r="AD155" s="1"/>
  <c r="N151"/>
  <c r="G151"/>
  <c r="N150"/>
  <c r="G150"/>
  <c r="N149"/>
  <c r="G149"/>
  <c r="N148"/>
  <c r="G148"/>
  <c r="N147"/>
  <c r="G147"/>
  <c r="N146"/>
  <c r="G146"/>
  <c r="N145"/>
  <c r="G145"/>
  <c r="N144"/>
  <c r="G144"/>
  <c r="N143"/>
  <c r="G143"/>
  <c r="N142"/>
  <c r="G142"/>
  <c r="N141"/>
  <c r="G141"/>
  <c r="N140"/>
  <c r="G140"/>
  <c r="N139"/>
  <c r="G139"/>
  <c r="N138"/>
  <c r="G138"/>
  <c r="AA137"/>
  <c r="P137"/>
  <c r="O137"/>
  <c r="J137"/>
  <c r="I137"/>
  <c r="AE138" s="1"/>
  <c r="AE139" s="1"/>
  <c r="H137"/>
  <c r="AD138" s="1"/>
  <c r="AD139" s="1"/>
  <c r="N134"/>
  <c r="G134"/>
  <c r="N133"/>
  <c r="G133"/>
  <c r="N132"/>
  <c r="G132"/>
  <c r="N131"/>
  <c r="G131"/>
  <c r="N130"/>
  <c r="G130"/>
  <c r="N129"/>
  <c r="G129"/>
  <c r="N128"/>
  <c r="G128"/>
  <c r="N127"/>
  <c r="G127"/>
  <c r="N126"/>
  <c r="G126"/>
  <c r="N125"/>
  <c r="G125"/>
  <c r="N124"/>
  <c r="G124"/>
  <c r="AA120"/>
  <c r="P120"/>
  <c r="J120"/>
  <c r="I120"/>
  <c r="AE121" s="1"/>
  <c r="AE122" s="1"/>
  <c r="H120"/>
  <c r="AD121" s="1"/>
  <c r="AD122" s="1"/>
  <c r="N117"/>
  <c r="G117"/>
  <c r="N116"/>
  <c r="G116"/>
  <c r="N115"/>
  <c r="G115"/>
  <c r="N114"/>
  <c r="G114"/>
  <c r="N113"/>
  <c r="G113"/>
  <c r="N112"/>
  <c r="G112"/>
  <c r="N111"/>
  <c r="G111"/>
  <c r="N110"/>
  <c r="G110"/>
  <c r="N109"/>
  <c r="G109"/>
  <c r="N108"/>
  <c r="G108"/>
  <c r="N107"/>
  <c r="G107"/>
  <c r="N106"/>
  <c r="G106"/>
  <c r="AA105"/>
  <c r="P105"/>
  <c r="O105"/>
  <c r="J105"/>
  <c r="I105"/>
  <c r="AE106" s="1"/>
  <c r="AE107" s="1"/>
  <c r="H105"/>
  <c r="AD106" s="1"/>
  <c r="AD107" s="1"/>
  <c r="N103"/>
  <c r="G103"/>
  <c r="N98"/>
  <c r="N97"/>
  <c r="G97"/>
  <c r="N96"/>
  <c r="G96"/>
  <c r="N95"/>
  <c r="G95"/>
  <c r="N94"/>
  <c r="G94"/>
  <c r="N93"/>
  <c r="G93"/>
  <c r="N92"/>
  <c r="G92"/>
  <c r="N90"/>
  <c r="N89"/>
  <c r="G89"/>
  <c r="N88"/>
  <c r="G88"/>
  <c r="N87"/>
  <c r="G87"/>
  <c r="N86"/>
  <c r="G86"/>
  <c r="N85"/>
  <c r="G85"/>
  <c r="AA84"/>
  <c r="P84"/>
  <c r="O84"/>
  <c r="J84"/>
  <c r="I84"/>
  <c r="AE85" s="1"/>
  <c r="AE86" s="1"/>
  <c r="H84"/>
  <c r="AD85" s="1"/>
  <c r="AD86" s="1"/>
  <c r="N82"/>
  <c r="G82"/>
  <c r="N81"/>
  <c r="G81"/>
  <c r="N80"/>
  <c r="G80"/>
  <c r="N79"/>
  <c r="G79"/>
  <c r="N78"/>
  <c r="G78"/>
  <c r="N77"/>
  <c r="G77"/>
  <c r="N76"/>
  <c r="G76"/>
  <c r="N75"/>
  <c r="G75"/>
  <c r="N74"/>
  <c r="G74"/>
  <c r="N73"/>
  <c r="G73"/>
  <c r="N72"/>
  <c r="G72"/>
  <c r="N71"/>
  <c r="G71"/>
  <c r="N70"/>
  <c r="G70"/>
  <c r="AA69"/>
  <c r="P69"/>
  <c r="O69"/>
  <c r="J69"/>
  <c r="I69"/>
  <c r="AE70" s="1"/>
  <c r="H69"/>
  <c r="AD70" s="1"/>
  <c r="N63"/>
  <c r="G63"/>
  <c r="N62"/>
  <c r="G62"/>
  <c r="N61"/>
  <c r="G61"/>
  <c r="N60"/>
  <c r="G60"/>
  <c r="N59"/>
  <c r="N57"/>
  <c r="AA55"/>
  <c r="P55"/>
  <c r="J55"/>
  <c r="I55"/>
  <c r="AE56" s="1"/>
  <c r="AE57" s="1"/>
  <c r="H55"/>
  <c r="AD56" s="1"/>
  <c r="AD57" s="1"/>
  <c r="N53"/>
  <c r="G53"/>
  <c r="N52"/>
  <c r="G52"/>
  <c r="N51"/>
  <c r="G51"/>
  <c r="N50"/>
  <c r="G50"/>
  <c r="N49"/>
  <c r="N48"/>
  <c r="G48"/>
  <c r="N47"/>
  <c r="G47"/>
  <c r="N46"/>
  <c r="G46"/>
  <c r="AA45"/>
  <c r="P45"/>
  <c r="O45"/>
  <c r="J45"/>
  <c r="I45"/>
  <c r="AE46" s="1"/>
  <c r="AE47" s="1"/>
  <c r="H45"/>
  <c r="AD46" s="1"/>
  <c r="AD47" s="1"/>
  <c r="N44"/>
  <c r="K44" s="1"/>
  <c r="G44"/>
  <c r="N42"/>
  <c r="K42" s="1"/>
  <c r="G42"/>
  <c r="N40"/>
  <c r="K40" s="1"/>
  <c r="N39"/>
  <c r="K39" s="1"/>
  <c r="G39"/>
  <c r="N38"/>
  <c r="K38" s="1"/>
  <c r="G38"/>
  <c r="N37"/>
  <c r="K37" s="1"/>
  <c r="G37"/>
  <c r="N36"/>
  <c r="K36" s="1"/>
  <c r="G36"/>
  <c r="N35"/>
  <c r="K35" s="1"/>
  <c r="G35"/>
  <c r="N34"/>
  <c r="K34" s="1"/>
  <c r="G34"/>
  <c r="N33"/>
  <c r="K33" s="1"/>
  <c r="G33"/>
  <c r="N32"/>
  <c r="K32" s="1"/>
  <c r="G32"/>
  <c r="N31"/>
  <c r="K31" s="1"/>
  <c r="G31"/>
  <c r="AA30"/>
  <c r="P30"/>
  <c r="O30"/>
  <c r="J30"/>
  <c r="I30"/>
  <c r="AE31" s="1"/>
  <c r="AE32" s="1"/>
  <c r="N23"/>
  <c r="G23"/>
  <c r="N26"/>
  <c r="G26"/>
  <c r="N25"/>
  <c r="G25"/>
  <c r="N24"/>
  <c r="G24"/>
  <c r="N22"/>
  <c r="G22"/>
  <c r="N21"/>
  <c r="G21"/>
  <c r="N20"/>
  <c r="G20"/>
  <c r="N19"/>
  <c r="G19"/>
  <c r="N18"/>
  <c r="G18"/>
  <c r="N17"/>
  <c r="K17" s="1"/>
  <c r="N16"/>
  <c r="K16" s="1"/>
  <c r="N15"/>
  <c r="AA14"/>
  <c r="P14"/>
  <c r="O14"/>
  <c r="AE15"/>
  <c r="AE16" s="1"/>
  <c r="G14" l="1"/>
  <c r="AE71"/>
  <c r="AE72"/>
  <c r="AD71"/>
  <c r="AD72"/>
  <c r="AD242"/>
  <c r="AD243" s="1"/>
  <c r="AE242"/>
  <c r="AE243" s="1"/>
  <c r="O13"/>
  <c r="O12" s="1"/>
  <c r="O8" s="1"/>
  <c r="P13"/>
  <c r="P12" s="1"/>
  <c r="P8" s="1"/>
  <c r="K30"/>
  <c r="K15"/>
  <c r="K14" s="1"/>
  <c r="N14"/>
  <c r="AA13"/>
  <c r="AA12" s="1"/>
  <c r="AA8" s="1"/>
  <c r="G257"/>
  <c r="AC258" s="1"/>
  <c r="AC259" s="1"/>
  <c r="I13"/>
  <c r="I12" s="1"/>
  <c r="I8" s="1"/>
  <c r="H13"/>
  <c r="H12" s="1"/>
  <c r="H8" s="1"/>
  <c r="J13"/>
  <c r="J12" s="1"/>
  <c r="J8" s="1"/>
  <c r="N120"/>
  <c r="G120"/>
  <c r="AC121" s="1"/>
  <c r="AC122" s="1"/>
  <c r="N137"/>
  <c r="N45"/>
  <c r="G164"/>
  <c r="AC165" s="1"/>
  <c r="AC166" s="1"/>
  <c r="N183"/>
  <c r="N55"/>
  <c r="G183"/>
  <c r="AC184" s="1"/>
  <c r="AC185" s="1"/>
  <c r="N153"/>
  <c r="N200"/>
  <c r="N241"/>
  <c r="G220"/>
  <c r="AC221" s="1"/>
  <c r="AC222" s="1"/>
  <c r="G225"/>
  <c r="AC226" s="1"/>
  <c r="AC227" s="1"/>
  <c r="G30"/>
  <c r="G105"/>
  <c r="AC106" s="1"/>
  <c r="AC107" s="1"/>
  <c r="G69"/>
  <c r="AC70" s="1"/>
  <c r="N69"/>
  <c r="N84"/>
  <c r="G200"/>
  <c r="AC201" s="1"/>
  <c r="AC202" s="1"/>
  <c r="N220"/>
  <c r="N257"/>
  <c r="N30"/>
  <c r="G84"/>
  <c r="AC85" s="1"/>
  <c r="AC86" s="1"/>
  <c r="N105"/>
  <c r="N164"/>
  <c r="N225"/>
  <c r="G45"/>
  <c r="AC46" s="1"/>
  <c r="AC47" s="1"/>
  <c r="G137"/>
  <c r="AC138" s="1"/>
  <c r="AC139" s="1"/>
  <c r="G241"/>
  <c r="AC242" s="1"/>
  <c r="AC243" s="1"/>
  <c r="G55"/>
  <c r="AC56" s="1"/>
  <c r="AC57" s="1"/>
  <c r="G153"/>
  <c r="AC154" s="1"/>
  <c r="AC155" s="1"/>
  <c r="AC71" l="1"/>
  <c r="AC72"/>
  <c r="AC31"/>
  <c r="AC32" s="1"/>
  <c r="K13"/>
  <c r="AC22"/>
  <c r="AC23" s="1"/>
  <c r="AC15"/>
  <c r="AC16" s="1"/>
  <c r="N13"/>
  <c r="N12" s="1"/>
  <c r="N8" s="1"/>
  <c r="G13"/>
  <c r="G12" s="1"/>
  <c r="G8" s="1"/>
  <c r="L197" i="16"/>
  <c r="L13" s="1"/>
  <c r="M209"/>
  <c r="K209" s="1"/>
  <c r="K197" s="1"/>
  <c r="K13" s="1"/>
  <c r="S197"/>
  <c r="S13" s="1"/>
  <c r="Q197"/>
  <c r="Q13" s="1"/>
  <c r="R197"/>
  <c r="R13" s="1"/>
  <c r="L209"/>
  <c r="M197" l="1"/>
  <c r="M13" s="1"/>
</calcChain>
</file>

<file path=xl/comments1.xml><?xml version="1.0" encoding="utf-8"?>
<comments xmlns="http://schemas.openxmlformats.org/spreadsheetml/2006/main">
  <authors>
    <author>Soạn giả</author>
  </authors>
  <commentList>
    <comment ref="Y16" authorId="0">
      <text>
        <r>
          <rPr>
            <b/>
            <sz val="9"/>
            <color indexed="81"/>
            <rFont val="Tahoma"/>
            <family val="2"/>
          </rPr>
          <t>Soạn giả:</t>
        </r>
        <r>
          <rPr>
            <sz val="9"/>
            <color indexed="81"/>
            <rFont val="Tahoma"/>
            <family val="2"/>
          </rPr>
          <t xml:space="preserve">
BỔ SUNG 0,01 ĐỂ LÀM TRÒN SỐ HUYỆN</t>
        </r>
      </text>
    </comment>
    <comment ref="Z16" authorId="0">
      <text>
        <r>
          <rPr>
            <b/>
            <sz val="9"/>
            <color indexed="81"/>
            <rFont val="Tahoma"/>
            <family val="2"/>
          </rPr>
          <t>Soạn giả:</t>
        </r>
        <r>
          <rPr>
            <sz val="9"/>
            <color indexed="81"/>
            <rFont val="Tahoma"/>
            <family val="2"/>
          </rPr>
          <t xml:space="preserve">
BỔ SUNG 0,01 ĐỂ LÀM TRÒN SỐ NĂM 2022</t>
        </r>
      </text>
    </comment>
    <comment ref="B24" authorId="0">
      <text>
        <r>
          <rPr>
            <b/>
            <sz val="9"/>
            <color indexed="81"/>
            <rFont val="Tahoma"/>
            <family val="2"/>
          </rPr>
          <t>Điều chỉnh DA: Hệ thống thủy lợi Khuổi Nằn 1</t>
        </r>
      </text>
    </comment>
    <comment ref="H35" authorId="0">
      <text>
        <r>
          <rPr>
            <b/>
            <sz val="9"/>
            <color indexed="81"/>
            <rFont val="Tahoma"/>
            <family val="2"/>
          </rPr>
          <t>Soạn giả:</t>
        </r>
        <r>
          <rPr>
            <sz val="9"/>
            <color indexed="81"/>
            <rFont val="Tahoma"/>
            <family val="2"/>
          </rPr>
          <t xml:space="preserve">
BỔ SUNG 0,01 LÀM TRÒN TỔNG HUYỆN</t>
        </r>
      </text>
    </comment>
    <comment ref="Y35" authorId="0">
      <text>
        <r>
          <rPr>
            <b/>
            <sz val="9"/>
            <color indexed="81"/>
            <rFont val="Tahoma"/>
            <family val="2"/>
          </rPr>
          <t>Soạn giả:</t>
        </r>
        <r>
          <rPr>
            <sz val="9"/>
            <color indexed="81"/>
            <rFont val="Tahoma"/>
            <family val="2"/>
          </rPr>
          <t xml:space="preserve">
BỔ SUNG 0,01 LÀM TRÒN TỔNG HUYỆN</t>
        </r>
      </text>
    </comment>
    <comment ref="B174" authorId="0">
      <text>
        <r>
          <rPr>
            <b/>
            <sz val="9"/>
            <color indexed="81"/>
            <rFont val="Tahoma"/>
            <family val="2"/>
          </rPr>
          <t>Điều chỉnh từ DA NVH PÒ Cạu</t>
        </r>
      </text>
    </comment>
    <comment ref="H178" authorId="0">
      <text>
        <r>
          <rPr>
            <sz val="9"/>
            <color indexed="81"/>
            <rFont val="Tahoma"/>
            <family val="2"/>
          </rPr>
          <t xml:space="preserve">ĐiỀU CHỈNH GiẢM 0,1
</t>
        </r>
      </text>
    </comment>
    <comment ref="B191" authorId="0">
      <text>
        <r>
          <rPr>
            <b/>
            <sz val="9"/>
            <color indexed="81"/>
            <rFont val="Tahoma"/>
            <family val="2"/>
          </rPr>
          <t>Soạn giả:</t>
        </r>
        <r>
          <rPr>
            <sz val="9"/>
            <color indexed="81"/>
            <rFont val="Tahoma"/>
            <family val="2"/>
          </rPr>
          <t xml:space="preserve">
THAY ĐỔI TỪ CỐC ĐÔNG SANG HÁT PÁI</t>
        </r>
      </text>
    </comment>
    <comment ref="H251" authorId="0">
      <text>
        <r>
          <rPr>
            <b/>
            <sz val="9"/>
            <color indexed="81"/>
            <rFont val="Tahoma"/>
            <family val="2"/>
          </rPr>
          <t>GiẢM 0,05</t>
        </r>
        <r>
          <rPr>
            <sz val="9"/>
            <color indexed="81"/>
            <rFont val="Tahoma"/>
            <family val="2"/>
          </rPr>
          <t xml:space="preserve">
</t>
        </r>
      </text>
    </comment>
    <comment ref="R251" authorId="0">
      <text>
        <r>
          <rPr>
            <b/>
            <sz val="9"/>
            <color indexed="81"/>
            <rFont val="Tahoma"/>
            <family val="2"/>
          </rPr>
          <t>GiẢM 0,05</t>
        </r>
        <r>
          <rPr>
            <sz val="9"/>
            <color indexed="81"/>
            <rFont val="Tahoma"/>
            <family val="2"/>
          </rPr>
          <t xml:space="preserve">
</t>
        </r>
      </text>
    </comment>
    <comment ref="AH251" authorId="0">
      <text>
        <r>
          <rPr>
            <b/>
            <sz val="9"/>
            <color indexed="81"/>
            <rFont val="Tahoma"/>
            <family val="2"/>
          </rPr>
          <t>GiẢM 0,05</t>
        </r>
        <r>
          <rPr>
            <sz val="9"/>
            <color indexed="81"/>
            <rFont val="Tahoma"/>
            <family val="2"/>
          </rPr>
          <t xml:space="preserve">
</t>
        </r>
      </text>
    </comment>
  </commentList>
</comments>
</file>

<file path=xl/comments2.xml><?xml version="1.0" encoding="utf-8"?>
<comments xmlns="http://schemas.openxmlformats.org/spreadsheetml/2006/main">
  <authors>
    <author>Soạn giả</author>
  </authors>
  <commentList>
    <comment ref="Y15" authorId="0">
      <text>
        <r>
          <rPr>
            <b/>
            <sz val="9"/>
            <color indexed="81"/>
            <rFont val="Tahoma"/>
            <family val="2"/>
          </rPr>
          <t>Soạn giả:</t>
        </r>
        <r>
          <rPr>
            <sz val="9"/>
            <color indexed="81"/>
            <rFont val="Tahoma"/>
            <family val="2"/>
          </rPr>
          <t xml:space="preserve">
BỔ SUNG 0,01 ĐỂ LÀM TRÒN SỐ HUYỆN</t>
        </r>
      </text>
    </comment>
    <comment ref="Z15" authorId="0">
      <text>
        <r>
          <rPr>
            <b/>
            <sz val="9"/>
            <color indexed="81"/>
            <rFont val="Tahoma"/>
            <family val="2"/>
          </rPr>
          <t>Soạn giả:</t>
        </r>
        <r>
          <rPr>
            <sz val="9"/>
            <color indexed="81"/>
            <rFont val="Tahoma"/>
            <family val="2"/>
          </rPr>
          <t xml:space="preserve">
BỔ SUNG 0,01 ĐỂ LÀM TRÒN SỐ NĂM 2022</t>
        </r>
      </text>
    </comment>
    <comment ref="B23" authorId="0">
      <text>
        <r>
          <rPr>
            <b/>
            <sz val="9"/>
            <color indexed="81"/>
            <rFont val="Tahoma"/>
            <family val="2"/>
          </rPr>
          <t>Điều chỉnh DA: Hệ thống thủy lợi Khuổi Nằn 1</t>
        </r>
      </text>
    </comment>
    <comment ref="H34" authorId="0">
      <text>
        <r>
          <rPr>
            <b/>
            <sz val="9"/>
            <color indexed="81"/>
            <rFont val="Tahoma"/>
            <family val="2"/>
          </rPr>
          <t>Soạn giả:</t>
        </r>
        <r>
          <rPr>
            <sz val="9"/>
            <color indexed="81"/>
            <rFont val="Tahoma"/>
            <family val="2"/>
          </rPr>
          <t xml:space="preserve">
BỔ SUNG 0,01 LÀM TRÒN TỔNG HUYỆN</t>
        </r>
      </text>
    </comment>
    <comment ref="Y34" authorId="0">
      <text>
        <r>
          <rPr>
            <b/>
            <sz val="9"/>
            <color indexed="81"/>
            <rFont val="Tahoma"/>
            <family val="2"/>
          </rPr>
          <t>Soạn giả:</t>
        </r>
        <r>
          <rPr>
            <sz val="9"/>
            <color indexed="81"/>
            <rFont val="Tahoma"/>
            <family val="2"/>
          </rPr>
          <t xml:space="preserve">
BỔ SUNG 0,01 LÀM TRÒN TỔNG HUYỆN</t>
        </r>
      </text>
    </comment>
    <comment ref="B173" authorId="0">
      <text>
        <r>
          <rPr>
            <b/>
            <sz val="9"/>
            <color indexed="81"/>
            <rFont val="Tahoma"/>
            <family val="2"/>
          </rPr>
          <t>Điều chỉnh từ DA NVH PÒ Cạu</t>
        </r>
      </text>
    </comment>
    <comment ref="H177" authorId="0">
      <text>
        <r>
          <rPr>
            <sz val="9"/>
            <color indexed="81"/>
            <rFont val="Tahoma"/>
            <family val="2"/>
          </rPr>
          <t xml:space="preserve">ĐiỀU CHỈNH GiẢM 0,1
</t>
        </r>
      </text>
    </comment>
    <comment ref="B190" authorId="0">
      <text>
        <r>
          <rPr>
            <b/>
            <sz val="9"/>
            <color indexed="81"/>
            <rFont val="Tahoma"/>
            <family val="2"/>
          </rPr>
          <t>Soạn giả:</t>
        </r>
        <r>
          <rPr>
            <sz val="9"/>
            <color indexed="81"/>
            <rFont val="Tahoma"/>
            <family val="2"/>
          </rPr>
          <t xml:space="preserve">
THAY ĐỔI TỪ CỐC ĐÔNG SANG HÁT PÁI</t>
        </r>
      </text>
    </comment>
    <comment ref="H250" authorId="0">
      <text>
        <r>
          <rPr>
            <b/>
            <sz val="9"/>
            <color indexed="81"/>
            <rFont val="Tahoma"/>
            <family val="2"/>
          </rPr>
          <t>GiẢM 0,05</t>
        </r>
        <r>
          <rPr>
            <sz val="9"/>
            <color indexed="81"/>
            <rFont val="Tahoma"/>
            <family val="2"/>
          </rPr>
          <t xml:space="preserve">
</t>
        </r>
      </text>
    </comment>
    <comment ref="R250" authorId="0">
      <text>
        <r>
          <rPr>
            <b/>
            <sz val="9"/>
            <color indexed="81"/>
            <rFont val="Tahoma"/>
            <family val="2"/>
          </rPr>
          <t>GiẢM 0,05</t>
        </r>
        <r>
          <rPr>
            <sz val="9"/>
            <color indexed="81"/>
            <rFont val="Tahoma"/>
            <family val="2"/>
          </rPr>
          <t xml:space="preserve">
</t>
        </r>
      </text>
    </comment>
    <comment ref="AH250" authorId="0">
      <text>
        <r>
          <rPr>
            <b/>
            <sz val="9"/>
            <color indexed="81"/>
            <rFont val="Tahoma"/>
            <family val="2"/>
          </rPr>
          <t>GiẢM 0,05</t>
        </r>
        <r>
          <rPr>
            <sz val="9"/>
            <color indexed="81"/>
            <rFont val="Tahoma"/>
            <family val="2"/>
          </rPr>
          <t xml:space="preserve">
</t>
        </r>
      </text>
    </comment>
  </commentList>
</comments>
</file>

<file path=xl/comments3.xml><?xml version="1.0" encoding="utf-8"?>
<comments xmlns="http://schemas.openxmlformats.org/spreadsheetml/2006/main">
  <authors>
    <author>Soạn giả</author>
  </authors>
  <commentList>
    <comment ref="Y15" authorId="0">
      <text>
        <r>
          <rPr>
            <b/>
            <sz val="9"/>
            <color indexed="81"/>
            <rFont val="Tahoma"/>
            <family val="2"/>
          </rPr>
          <t>Soạn giả:</t>
        </r>
        <r>
          <rPr>
            <sz val="9"/>
            <color indexed="81"/>
            <rFont val="Tahoma"/>
            <family val="2"/>
          </rPr>
          <t xml:space="preserve">
BỔ SUNG 0,01 ĐỂ LÀM TRÒN SỐ HUYỆN</t>
        </r>
      </text>
    </comment>
    <comment ref="Z15" authorId="0">
      <text>
        <r>
          <rPr>
            <b/>
            <sz val="9"/>
            <color indexed="81"/>
            <rFont val="Tahoma"/>
            <family val="2"/>
          </rPr>
          <t>Soạn giả:</t>
        </r>
        <r>
          <rPr>
            <sz val="9"/>
            <color indexed="81"/>
            <rFont val="Tahoma"/>
            <family val="2"/>
          </rPr>
          <t xml:space="preserve">
BỔ SUNG 0,01 ĐỂ LÀM TRÒN SỐ NĂM 2022</t>
        </r>
      </text>
    </comment>
    <comment ref="B23" authorId="0">
      <text>
        <r>
          <rPr>
            <b/>
            <sz val="9"/>
            <color indexed="81"/>
            <rFont val="Tahoma"/>
            <family val="2"/>
          </rPr>
          <t>Điều chỉnh DA: Hệ thống thủy lợi Khuổi Nằn 1</t>
        </r>
      </text>
    </comment>
    <comment ref="H34" authorId="0">
      <text>
        <r>
          <rPr>
            <b/>
            <sz val="9"/>
            <color indexed="81"/>
            <rFont val="Tahoma"/>
            <family val="2"/>
          </rPr>
          <t>Soạn giả:</t>
        </r>
        <r>
          <rPr>
            <sz val="9"/>
            <color indexed="81"/>
            <rFont val="Tahoma"/>
            <family val="2"/>
          </rPr>
          <t xml:space="preserve">
BỔ SUNG 0,01 LÀM TRÒN TỔNG HUYỆN</t>
        </r>
      </text>
    </comment>
    <comment ref="Y34" authorId="0">
      <text>
        <r>
          <rPr>
            <b/>
            <sz val="9"/>
            <color indexed="81"/>
            <rFont val="Tahoma"/>
            <family val="2"/>
          </rPr>
          <t>Soạn giả:</t>
        </r>
        <r>
          <rPr>
            <sz val="9"/>
            <color indexed="81"/>
            <rFont val="Tahoma"/>
            <family val="2"/>
          </rPr>
          <t xml:space="preserve">
BỔ SUNG 0,01 LÀM TRÒN TỔNG HUYỆN</t>
        </r>
      </text>
    </comment>
    <comment ref="B173" authorId="0">
      <text>
        <r>
          <rPr>
            <b/>
            <sz val="9"/>
            <color indexed="81"/>
            <rFont val="Tahoma"/>
            <family val="2"/>
          </rPr>
          <t>Điều chỉnh từ DA NVH PÒ Cạu</t>
        </r>
      </text>
    </comment>
    <comment ref="H177" authorId="0">
      <text>
        <r>
          <rPr>
            <sz val="9"/>
            <color indexed="81"/>
            <rFont val="Tahoma"/>
            <family val="2"/>
          </rPr>
          <t xml:space="preserve">ĐiỀU CHỈNH GiẢM 0,1
</t>
        </r>
      </text>
    </comment>
    <comment ref="B190" authorId="0">
      <text>
        <r>
          <rPr>
            <b/>
            <sz val="9"/>
            <color indexed="81"/>
            <rFont val="Tahoma"/>
            <family val="2"/>
          </rPr>
          <t>Soạn giả:</t>
        </r>
        <r>
          <rPr>
            <sz val="9"/>
            <color indexed="81"/>
            <rFont val="Tahoma"/>
            <family val="2"/>
          </rPr>
          <t xml:space="preserve">
THAY ĐỔI TỪ CỐC ĐÔNG SANG HÁT PÁI</t>
        </r>
      </text>
    </comment>
    <comment ref="H250" authorId="0">
      <text>
        <r>
          <rPr>
            <b/>
            <sz val="9"/>
            <color indexed="81"/>
            <rFont val="Tahoma"/>
            <family val="2"/>
          </rPr>
          <t>GiẢM 0,05</t>
        </r>
        <r>
          <rPr>
            <sz val="9"/>
            <color indexed="81"/>
            <rFont val="Tahoma"/>
            <family val="2"/>
          </rPr>
          <t xml:space="preserve">
</t>
        </r>
      </text>
    </comment>
    <comment ref="R250" authorId="0">
      <text>
        <r>
          <rPr>
            <b/>
            <sz val="9"/>
            <color indexed="81"/>
            <rFont val="Tahoma"/>
            <family val="2"/>
          </rPr>
          <t>GiẢM 0,05</t>
        </r>
        <r>
          <rPr>
            <sz val="9"/>
            <color indexed="81"/>
            <rFont val="Tahoma"/>
            <family val="2"/>
          </rPr>
          <t xml:space="preserve">
</t>
        </r>
      </text>
    </comment>
    <comment ref="AH250" authorId="0">
      <text>
        <r>
          <rPr>
            <b/>
            <sz val="9"/>
            <color indexed="81"/>
            <rFont val="Tahoma"/>
            <family val="2"/>
          </rPr>
          <t>GiẢM 0,05</t>
        </r>
        <r>
          <rPr>
            <sz val="9"/>
            <color indexed="81"/>
            <rFont val="Tahoma"/>
            <family val="2"/>
          </rPr>
          <t xml:space="preserve">
</t>
        </r>
      </text>
    </comment>
  </commentList>
</comments>
</file>

<file path=xl/comments4.xml><?xml version="1.0" encoding="utf-8"?>
<comments xmlns="http://schemas.openxmlformats.org/spreadsheetml/2006/main">
  <authors>
    <author>Soạn giả</author>
  </authors>
  <commentList>
    <comment ref="O15" authorId="0">
      <text>
        <r>
          <rPr>
            <b/>
            <sz val="9"/>
            <color indexed="81"/>
            <rFont val="Tahoma"/>
            <family val="2"/>
          </rPr>
          <t>Soạn giả:</t>
        </r>
        <r>
          <rPr>
            <sz val="9"/>
            <color indexed="81"/>
            <rFont val="Tahoma"/>
            <family val="2"/>
          </rPr>
          <t xml:space="preserve">
BỔ SUNG 0,01 ĐỂ LÀM TRÒN SỐ HUYỆN</t>
        </r>
      </text>
    </comment>
    <comment ref="P15" authorId="0">
      <text>
        <r>
          <rPr>
            <b/>
            <sz val="9"/>
            <color indexed="81"/>
            <rFont val="Tahoma"/>
            <family val="2"/>
          </rPr>
          <t>Soạn giả:</t>
        </r>
        <r>
          <rPr>
            <sz val="9"/>
            <color indexed="81"/>
            <rFont val="Tahoma"/>
            <family val="2"/>
          </rPr>
          <t xml:space="preserve">
BỔ SUNG 0,01 ĐỂ LÀM TRÒN SỐ NĂM 2022</t>
        </r>
      </text>
    </comment>
    <comment ref="B23" authorId="0">
      <text>
        <r>
          <rPr>
            <b/>
            <sz val="9"/>
            <color indexed="81"/>
            <rFont val="Tahoma"/>
            <family val="2"/>
          </rPr>
          <t>Điều chỉnh DA: Hệ thống thủy lợi Khuổi Nằn 1</t>
        </r>
      </text>
    </comment>
    <comment ref="H34" authorId="0">
      <text>
        <r>
          <rPr>
            <b/>
            <sz val="9"/>
            <color indexed="81"/>
            <rFont val="Tahoma"/>
            <family val="2"/>
          </rPr>
          <t>Soạn giả:</t>
        </r>
        <r>
          <rPr>
            <sz val="9"/>
            <color indexed="81"/>
            <rFont val="Tahoma"/>
            <family val="2"/>
          </rPr>
          <t xml:space="preserve">
BỔ SUNG 0,01 LÀM TRÒN TỔNG HUYỆN</t>
        </r>
      </text>
    </comment>
    <comment ref="O34" authorId="0">
      <text>
        <r>
          <rPr>
            <b/>
            <sz val="9"/>
            <color indexed="81"/>
            <rFont val="Tahoma"/>
            <family val="2"/>
          </rPr>
          <t>Soạn giả:</t>
        </r>
        <r>
          <rPr>
            <sz val="9"/>
            <color indexed="81"/>
            <rFont val="Tahoma"/>
            <family val="2"/>
          </rPr>
          <t xml:space="preserve">
BỔ SUNG 0,01 LÀM TRÒN TỔNG HUYỆN</t>
        </r>
      </text>
    </comment>
    <comment ref="H172" authorId="0">
      <text>
        <r>
          <rPr>
            <sz val="9"/>
            <color indexed="81"/>
            <rFont val="Tahoma"/>
            <family val="2"/>
          </rPr>
          <t xml:space="preserve">ĐiỀU CHỈNH GiẢM 0,1
</t>
        </r>
      </text>
    </comment>
    <comment ref="B175" authorId="0">
      <text>
        <r>
          <rPr>
            <b/>
            <sz val="9"/>
            <color indexed="81"/>
            <rFont val="Tahoma"/>
            <family val="2"/>
          </rPr>
          <t>Điều chỉnh từ DA NVH PÒ Cạu</t>
        </r>
      </text>
    </comment>
    <comment ref="B193" authorId="0">
      <text>
        <r>
          <rPr>
            <b/>
            <sz val="9"/>
            <color indexed="81"/>
            <rFont val="Tahoma"/>
            <family val="2"/>
          </rPr>
          <t>Soạn giả:</t>
        </r>
        <r>
          <rPr>
            <sz val="9"/>
            <color indexed="81"/>
            <rFont val="Tahoma"/>
            <family val="2"/>
          </rPr>
          <t xml:space="preserve">
THAY ĐỔI TỪ CỐC ĐÔNG SANG HÁT PÁI</t>
        </r>
      </text>
    </comment>
    <comment ref="H254" authorId="0">
      <text>
        <r>
          <rPr>
            <b/>
            <sz val="9"/>
            <color indexed="81"/>
            <rFont val="Tahoma"/>
            <family val="2"/>
          </rPr>
          <t>GiẢM 0,05</t>
        </r>
        <r>
          <rPr>
            <sz val="9"/>
            <color indexed="81"/>
            <rFont val="Tahoma"/>
            <family val="2"/>
          </rPr>
          <t xml:space="preserve">
</t>
        </r>
      </text>
    </comment>
    <comment ref="X254" authorId="0">
      <text>
        <r>
          <rPr>
            <b/>
            <sz val="9"/>
            <color indexed="81"/>
            <rFont val="Tahoma"/>
            <family val="2"/>
          </rPr>
          <t>GiẢM 0,05</t>
        </r>
        <r>
          <rPr>
            <sz val="9"/>
            <color indexed="81"/>
            <rFont val="Tahoma"/>
            <family val="2"/>
          </rPr>
          <t xml:space="preserve">
</t>
        </r>
      </text>
    </comment>
  </commentList>
</comments>
</file>

<file path=xl/comments5.xml><?xml version="1.0" encoding="utf-8"?>
<comments xmlns="http://schemas.openxmlformats.org/spreadsheetml/2006/main">
  <authors>
    <author>Soạn giả</author>
  </authors>
  <commentList>
    <comment ref="P16" authorId="0">
      <text>
        <r>
          <rPr>
            <b/>
            <sz val="9"/>
            <color indexed="81"/>
            <rFont val="Tahoma"/>
            <family val="2"/>
          </rPr>
          <t>Soạn giả:</t>
        </r>
        <r>
          <rPr>
            <sz val="9"/>
            <color indexed="81"/>
            <rFont val="Tahoma"/>
            <family val="2"/>
          </rPr>
          <t xml:space="preserve">
BỔ SUNG 0,01 ĐỂ LÀM TRÒN SỐ HUYỆN</t>
        </r>
      </text>
    </comment>
    <comment ref="Q16" authorId="0">
      <text>
        <r>
          <rPr>
            <b/>
            <sz val="9"/>
            <color indexed="81"/>
            <rFont val="Tahoma"/>
            <family val="2"/>
          </rPr>
          <t>Soạn giả:</t>
        </r>
        <r>
          <rPr>
            <sz val="9"/>
            <color indexed="81"/>
            <rFont val="Tahoma"/>
            <family val="2"/>
          </rPr>
          <t xml:space="preserve">
BỔ SUNG 0,01 ĐỂ LÀM TRÒN SỐ NĂM 2022</t>
        </r>
      </text>
    </comment>
    <comment ref="Q18" authorId="0">
      <text>
        <r>
          <rPr>
            <b/>
            <sz val="9"/>
            <color indexed="81"/>
            <rFont val="Tahoma"/>
            <family val="2"/>
          </rPr>
          <t>bổ sung 0,01</t>
        </r>
      </text>
    </comment>
    <comment ref="B28" authorId="0">
      <text>
        <r>
          <rPr>
            <b/>
            <sz val="9"/>
            <color indexed="81"/>
            <rFont val="Tahoma"/>
            <family val="2"/>
          </rPr>
          <t>Đổi danh mục Hệ thống thủy lợi Khuổi Nằn 1</t>
        </r>
      </text>
    </comment>
    <comment ref="F33" authorId="0">
      <text>
        <r>
          <rPr>
            <b/>
            <sz val="9"/>
            <color indexed="81"/>
            <rFont val="Tahoma"/>
            <family val="2"/>
          </rPr>
          <t>Soạn giả:</t>
        </r>
        <r>
          <rPr>
            <sz val="9"/>
            <color indexed="81"/>
            <rFont val="Tahoma"/>
            <family val="2"/>
          </rPr>
          <t xml:space="preserve">
BỔ SUNG 0,01 LÀM TRÒN TỔNG HUYỆN</t>
        </r>
      </text>
    </comment>
    <comment ref="P33" authorId="0">
      <text>
        <r>
          <rPr>
            <b/>
            <sz val="9"/>
            <color indexed="81"/>
            <rFont val="Tahoma"/>
            <family val="2"/>
          </rPr>
          <t>Soạn giả:</t>
        </r>
        <r>
          <rPr>
            <sz val="9"/>
            <color indexed="81"/>
            <rFont val="Tahoma"/>
            <family val="2"/>
          </rPr>
          <t xml:space="preserve">
BỔ SUNG 0,01 LÀM TRÒN TỔNG HUYỆN</t>
        </r>
      </text>
    </comment>
    <comment ref="P55" authorId="0">
      <text>
        <r>
          <rPr>
            <b/>
            <sz val="9"/>
            <color indexed="81"/>
            <rFont val="Tahoma"/>
            <family val="2"/>
          </rPr>
          <t xml:space="preserve">giảm 0,01
</t>
        </r>
      </text>
    </comment>
    <comment ref="F153" authorId="0">
      <text>
        <r>
          <rPr>
            <sz val="9"/>
            <color indexed="81"/>
            <rFont val="Tahoma"/>
            <family val="2"/>
          </rPr>
          <t xml:space="preserve">ĐiỀU CHỈNH GiẢM 0,1
</t>
        </r>
      </text>
    </comment>
    <comment ref="B171" authorId="0">
      <text>
        <r>
          <rPr>
            <b/>
            <sz val="9"/>
            <color indexed="81"/>
            <rFont val="Tahoma"/>
            <family val="2"/>
          </rPr>
          <t>Soạn giả:</t>
        </r>
        <r>
          <rPr>
            <sz val="9"/>
            <color indexed="81"/>
            <rFont val="Tahoma"/>
            <family val="2"/>
          </rPr>
          <t xml:space="preserve">
THAY ĐỔI TỪ CỐC ĐÔNG SANG HÁT PÁI</t>
        </r>
      </text>
    </comment>
    <comment ref="F228" authorId="0">
      <text>
        <r>
          <rPr>
            <b/>
            <sz val="9"/>
            <color indexed="81"/>
            <rFont val="Tahoma"/>
            <family val="2"/>
          </rPr>
          <t>GiẢM 0,05</t>
        </r>
        <r>
          <rPr>
            <sz val="9"/>
            <color indexed="81"/>
            <rFont val="Tahoma"/>
            <family val="2"/>
          </rPr>
          <t xml:space="preserve">
</t>
        </r>
      </text>
    </comment>
  </commentList>
</comments>
</file>

<file path=xl/comments6.xml><?xml version="1.0" encoding="utf-8"?>
<comments xmlns="http://schemas.openxmlformats.org/spreadsheetml/2006/main">
  <authors>
    <author>Soạn giả</author>
  </authors>
  <commentList>
    <comment ref="L22" authorId="0">
      <text>
        <r>
          <rPr>
            <b/>
            <sz val="9"/>
            <color indexed="81"/>
            <rFont val="Tahoma"/>
            <family val="2"/>
          </rPr>
          <t>Soạn giả:</t>
        </r>
        <r>
          <rPr>
            <sz val="9"/>
            <color indexed="81"/>
            <rFont val="Tahoma"/>
            <family val="2"/>
          </rPr>
          <t xml:space="preserve">
BỔ SUNG 0,01 LÀM RÒN SỐ TỔNG HUYỆN</t>
        </r>
      </text>
    </comment>
    <comment ref="M22" authorId="0">
      <text>
        <r>
          <rPr>
            <b/>
            <sz val="9"/>
            <color indexed="81"/>
            <rFont val="Tahoma"/>
            <family val="2"/>
          </rPr>
          <t>Soạn giả:</t>
        </r>
        <r>
          <rPr>
            <sz val="9"/>
            <color indexed="81"/>
            <rFont val="Tahoma"/>
            <family val="2"/>
          </rPr>
          <t xml:space="preserve">
BỔ SUNG 0,01 LÀM TRÒN SỐ TỔNG HUYỆN</t>
        </r>
      </text>
    </comment>
    <comment ref="H29" authorId="0">
      <text>
        <r>
          <rPr>
            <b/>
            <sz val="9"/>
            <color indexed="81"/>
            <rFont val="Tahoma"/>
            <family val="2"/>
          </rPr>
          <t>Soạn giả:</t>
        </r>
        <r>
          <rPr>
            <sz val="9"/>
            <color indexed="81"/>
            <rFont val="Tahoma"/>
            <family val="2"/>
          </rPr>
          <t xml:space="preserve">
BỔ SUNG LÀM TRÒN 0,01 TỔNG HUYỆN</t>
        </r>
      </text>
    </comment>
    <comment ref="L29" authorId="0">
      <text>
        <r>
          <rPr>
            <b/>
            <sz val="9"/>
            <color indexed="81"/>
            <rFont val="Tahoma"/>
            <family val="2"/>
          </rPr>
          <t>Soạn giả:</t>
        </r>
        <r>
          <rPr>
            <sz val="9"/>
            <color indexed="81"/>
            <rFont val="Tahoma"/>
            <family val="2"/>
          </rPr>
          <t xml:space="preserve">
BỔ SUNG 0,01 ĐỂ LÀM TRÒN TỔNG HUYỆN</t>
        </r>
      </text>
    </comment>
  </commentList>
</comments>
</file>

<file path=xl/comments7.xml><?xml version="1.0" encoding="utf-8"?>
<comments xmlns="http://schemas.openxmlformats.org/spreadsheetml/2006/main">
  <authors>
    <author>Soạn giả</author>
  </authors>
  <commentList>
    <comment ref="G66" authorId="0">
      <text>
        <r>
          <rPr>
            <b/>
            <sz val="9"/>
            <color indexed="81"/>
            <rFont val="Tahoma"/>
            <family val="2"/>
          </rPr>
          <t>GiẢM 0,1</t>
        </r>
        <r>
          <rPr>
            <sz val="9"/>
            <color indexed="81"/>
            <rFont val="Tahoma"/>
            <family val="2"/>
          </rPr>
          <t xml:space="preserve">
</t>
        </r>
      </text>
    </comment>
  </commentList>
</comments>
</file>

<file path=xl/sharedStrings.xml><?xml version="1.0" encoding="utf-8"?>
<sst xmlns="http://schemas.openxmlformats.org/spreadsheetml/2006/main" count="7299" uniqueCount="1240">
  <si>
    <t>ĐVT: Triệu đồng</t>
  </si>
  <si>
    <t>TT</t>
  </si>
  <si>
    <t>Tên dự án, công trình</t>
  </si>
  <si>
    <t>Địa điểm xây dựng</t>
  </si>
  <si>
    <t>Quy mô công trình dự kiến</t>
  </si>
  <si>
    <t>Năm KC-HT</t>
  </si>
  <si>
    <t>Kế hoạch vốn giai đoạn 2021-2025</t>
  </si>
  <si>
    <t>Kế hoạch vốn năm 2022</t>
  </si>
  <si>
    <t>Ghi chú</t>
  </si>
  <si>
    <t>Tổng số</t>
  </si>
  <si>
    <t>Ngân sách TW</t>
  </si>
  <si>
    <t>Nguồn vốn tỉnh đối ứng</t>
  </si>
  <si>
    <t xml:space="preserve">Nguồn vốn khác </t>
  </si>
  <si>
    <t>TỔNG</t>
  </si>
  <si>
    <t>I</t>
  </si>
  <si>
    <t>DỰ ÁN 1 - GIẢI QUYẾT TÌNH TRẠNG THIẾU ĐẤT Ở, NHÀ Ở, ĐẤT SẢN XUẤT, NƯỚC SINH HOẠT</t>
  </si>
  <si>
    <t>I.1</t>
  </si>
  <si>
    <t>Nội dung 1, 2, 3: Hỗ trợ đất ở, nhà ở, đất sản xuất</t>
  </si>
  <si>
    <t>Huyện Chợ Mới</t>
  </si>
  <si>
    <t>2022-2025</t>
  </si>
  <si>
    <t>Huyện Chợ Đồn</t>
  </si>
  <si>
    <t>Huyện Ngân Sơn</t>
  </si>
  <si>
    <t>Huyện Bạch Thông</t>
  </si>
  <si>
    <t>Huyện Na Rì</t>
  </si>
  <si>
    <t>Huyện Pác Nặm</t>
  </si>
  <si>
    <t>Huyện Ba Bể</t>
  </si>
  <si>
    <t>I.2</t>
  </si>
  <si>
    <t>Nội dung 4: Hỗ trợ nước sinh hoạt</t>
  </si>
  <si>
    <t>Dự án Cấp nước sinh 
hoạt tập trung vùng đồng bào dân tộc thiểu số và miền núi tỉnh Bắc Kạn năm 2022</t>
  </si>
  <si>
    <t>Tại các xã trên địa bàn tỉnh</t>
  </si>
  <si>
    <t xml:space="preserve">Bao gồm các công trình cấp nước sinh hoạt cho các thôn thuộc các xã trên địa bàn tỉnh </t>
  </si>
  <si>
    <t>2022-2023</t>
  </si>
  <si>
    <t>Dự án Cấp nước sinh 
hoạt tập trung vùng đồng bào dân tộc thiểu số và miền núi tỉnh Bắc Kạn năm 2023 - 2025</t>
  </si>
  <si>
    <t>2023-2025</t>
  </si>
  <si>
    <t>II</t>
  </si>
  <si>
    <t>DỰ ÁN 2 - QUY HOẠCH, SẮP XẾP, BỐ TRÍ, ỔN ĐỊNH DÂN CƯ Ở NHỮNG NƠI CẦN THIẾT</t>
  </si>
  <si>
    <t>Bao gồm các công trình hạ tầng như: san nền, cấp nước, cấp điện, đường giao thông và các công trình phụ trợ khác...</t>
  </si>
  <si>
    <t xml:space="preserve">Bố trí ổn định dân cư tập trung dân cư vùng thiên tai thôn Khuổi nộc, xã Lương Thượng, huyện Na Rì </t>
  </si>
  <si>
    <t xml:space="preserve"> xã Lương Thượng, huyện Na Rì </t>
  </si>
  <si>
    <t>III</t>
  </si>
  <si>
    <t>DỰ ÁN 3 - PHÁT TRIỂN SẢN XUẤT NÔNG, LÂM NGHIỆP BỀN VỮNG, PHÁT HUY TIỀM NĂNG THẾ MẠNH CÁC VÙNG MIỀN ĐỂ SẢN XUẤT HÀNG HÓA THEO CHUỖI GIÁ TRỊ</t>
  </si>
  <si>
    <t>Dự án phát triển dược liệu trên địa bàn tỉnh Bắc Kạn</t>
  </si>
  <si>
    <t>Tỉnh Bắc Kạn</t>
  </si>
  <si>
    <t xml:space="preserve">Dự kiến </t>
  </si>
  <si>
    <t>IV</t>
  </si>
  <si>
    <t xml:space="preserve"> DỰ ÁN 4 - ĐẦU TƯ CƠ SỞ HẠ TẦNG THIẾT YẾU, PHỤC VỤ SẢN XUẤT, ĐỜI SỐNG VÙNG ĐỒNG BÀO DTTS&amp;MN </t>
  </si>
  <si>
    <t>IV.1</t>
  </si>
  <si>
    <t>Nội dung số 01: Đầu tư cơ sở hạ tầng thiết yếu cùng đồng bào dân tộc thiểu số và miền núi; ưu tiên đối với các xã ĐBKK, thôn ĐBKK</t>
  </si>
  <si>
    <t>A</t>
  </si>
  <si>
    <t>B</t>
  </si>
  <si>
    <t>2023-2024</t>
  </si>
  <si>
    <t>2024-2025</t>
  </si>
  <si>
    <t>Năm 2022</t>
  </si>
  <si>
    <t>Năm 2023</t>
  </si>
  <si>
    <t>Năm 2024</t>
  </si>
  <si>
    <t>Năm 2025</t>
  </si>
  <si>
    <t>Cấp huyện</t>
  </si>
  <si>
    <t>Thôn Cốc Phia</t>
  </si>
  <si>
    <t>Thôn Nà Cà</t>
  </si>
  <si>
    <t>Thị trấn Nà Phặc</t>
  </si>
  <si>
    <t>E.1</t>
  </si>
  <si>
    <t>Thị trấn Yến Lạc</t>
  </si>
  <si>
    <t>Nâng cấp hệ thống mương thủy lợi Nà Ngà, Bản Pò, thị trấn Yến Lạc</t>
  </si>
  <si>
    <t>Tổ nhân dân Bản Pò, thị trấn Yến Lạc</t>
  </si>
  <si>
    <t xml:space="preserve">Kênh bê tông mác 150, mặt cắt kênh 60x60, chiều dài khoảng 600m; xây đập giữ nước chiều dài 3,0m; diện tích tưới tiêu 4,6ha, 38 hộ hưởng lợi. </t>
  </si>
  <si>
    <t>Cải tạo, nâng cấp Nhà Văn hóa tổ nhân dân Phố B, thị trấn Yến Lạc</t>
  </si>
  <si>
    <t>Tổ nhân dân Phố B, thị trấn Yến Lạc</t>
  </si>
  <si>
    <t xml:space="preserve">Xây tường bằng gạch chỉ không nung VXM M75#, chiều dài khoảng 100 m; các thiết bị </t>
  </si>
  <si>
    <t>Đường bê tông Cạm Bác-Hang Tiên</t>
  </si>
  <si>
    <t>Thôn Khuổi Nằn 1, thị trấn Yến Lạc</t>
  </si>
  <si>
    <t>Đường GTNT cấp B theo thiết kế mẫu tại Quyết định số 1355/QĐ-UBND ngày 08/8/2018 của UBND tỉnh, Quyết định 991/QĐ-UBND ngày 03/6/2020; rộng 2 m dày 14 cm,chiều dài khoảng 250 m</t>
  </si>
  <si>
    <t>Cải tạo hệ thống mương thủy lợi Nà Ngà, Bản Pò, thị trấn Yến Lạc</t>
  </si>
  <si>
    <t xml:space="preserve">Kênh bê tông mác 150, mặt cắt kênh 60x104, chiều dài khoảng 450m; xây đập giữ nước chiều dài 3,0m; diện tích tưới tiêu 1,6ha, 10 hộ hưởng lợi. </t>
  </si>
  <si>
    <t>Mở rộng diện tích nhà Văn hóa 25 m2; các công trình phụ trợ</t>
  </si>
  <si>
    <t>Đường bê tông Cạm Bác-Hang Tiên (Đoạn 2)</t>
  </si>
  <si>
    <t>Đường GTNT cấp B theo thiết kế mẫu tại Quyết định số 1355/QĐ-UBND ngày 08/8/2018 của UBND tỉnh, Quyết định 991/QĐ-UBND ngày 03/6/2020; rộng 2 m dày 14 cm,chiều dài khoảng 500 m</t>
  </si>
  <si>
    <t>Hệ thống thoát nước thải tổ nhân dân Bản Pò</t>
  </si>
  <si>
    <t>Mương thoát nước thải chiều dài khoảng 400 m bằng gạch chỉ 40 x70, có tấm nắp bằng bê tông cốt thép</t>
  </si>
  <si>
    <t>Năm  2024</t>
  </si>
  <si>
    <t>Đường bê tông đoạn Ngầm Tà Pìn</t>
  </si>
  <si>
    <t>Đường GTNT cấp B theo thiết kế mẫu tại Quyết định số 1355/QĐ-UBND ngày 08/8/2018 của UBND tỉnh, Quyết định 991/QĐ-UBND ngày 03/6/2020; rộng 3 m dày 16 cm,chiều dài khoảng 200 m</t>
  </si>
  <si>
    <t>Đường bê tông Slọ Mèo</t>
  </si>
  <si>
    <t>Hoàn thiện các hạng mục nhà văn hóa tổ nhân dân Bản Pò, thị trấn Yến Lạc</t>
  </si>
  <si>
    <t>Xây dựng tường bằng gạch chỉ không nungVXM M75#, chiều dài khoảng 20 m; mua sắm trang thiết bị, bàn ghế</t>
  </si>
  <si>
    <t>Cải tạo, nâng cấp đường bê tông liên thôn Bản Pò</t>
  </si>
  <si>
    <t>Mặt đường đổ bê tông mác 200 đá 1x2, chiều dài tuyến đường khoảng 130m, dày 10 cm, rộng 2,0 m; kè chống sạt lở đường xây bằng gạch chỉ không nung VXM M75#</t>
  </si>
  <si>
    <t>Hệ thống thoát nước thải tổ ND Phố B</t>
  </si>
  <si>
    <t>Chiều dài khoảng 200 m, rãnh thoát nước gạch chỉ 30 x 40; có tấm nắp bằng bê tông cốt thép 42 hộ hưởng lợi</t>
  </si>
  <si>
    <t>Hệ thống thủy lợi Khuổi Nằn 1</t>
  </si>
  <si>
    <t>Hệ thống ống nhựa HDPE D110 mm - D 160mm, chiều dài khoảng 400m, phục vụ tưới tiêu cho khoảng 2,6 ha cho cây trồng phát triển sản xuất; 12 hộ hưởng lợi</t>
  </si>
  <si>
    <t>E.2</t>
  </si>
  <si>
    <t>Xã Quang Phong</t>
  </si>
  <si>
    <t>Nhà Văn hóa thôn Quan Làng</t>
  </si>
  <si>
    <t>Thôn Quan Làng</t>
  </si>
  <si>
    <t>Xây dựng Nhà văn hóa thôn 80 chỗ ngồi theo thiết kế mẫu tại Quyết định số 1355/QĐ-UBND ngày 08/8/2018 của UBND tỉnh (Ký hiệu VHT-80); Quyết định 991/QĐ-UBND ngày 03/6/2020</t>
  </si>
  <si>
    <t>Nhà Văn hóa thôn Nà Vả, xã Quang Phong</t>
  </si>
  <si>
    <t>Thôn Nà Vả</t>
  </si>
  <si>
    <t>Nhà Văn hóa thôn Nà Buốc, xã Quang Phong</t>
  </si>
  <si>
    <t>Thôn Nà Buốc</t>
  </si>
  <si>
    <t>Xây dựng Nhà văn hóa thôn 100 chỗ ngồi theo thiết kế mẫu tại Quyết định số 1355/QĐ-UBND ngày 08/8/2018 của UBND tỉnh (Ký hiệu VHT-80); Quyết định 991/QĐ-UBND ngày 03/6/2021</t>
  </si>
  <si>
    <t>Rãnh thoát nước đường trục thôn Nà Vả đoạn Cổng Chào - Lò đốt rác</t>
  </si>
  <si>
    <t>Rãnh thoát nước 40x40 cm, tấm đan</t>
  </si>
  <si>
    <t>Nhà Văn hóa thôn Nà Rầy, xã Quang Phong</t>
  </si>
  <si>
    <t>Đường bê tông trục thôn Nà Vả đoạn Phai Thiếc - Thôm Luồm</t>
  </si>
  <si>
    <t>Đường GTNT cấp B theo thiết kế mẫu tại Quyết định số 1355/QĐ-UBND ngày 08/8/2018 của UBND tỉnh, Quyết định 991/QĐ-UBND ngày 03/6/2020; chiều dài khoảng 700 m</t>
  </si>
  <si>
    <t>Đường bê tông liên thôn Nà Rầy - Nà Tha, xã Quang Phong</t>
  </si>
  <si>
    <t>Thôn Nà Tha</t>
  </si>
  <si>
    <t>Đường GTNT cấp B theo thiết kế mẫu tại Quyết định số 1355/QĐ-UBND ngày 08/8/2018 của UBND tỉnh, Quyết định 991/QĐ-UBND ngày 03/6/2020; chiều dài khoảng 1300 m</t>
  </si>
  <si>
    <t xml:space="preserve">Đường bê tông trục thôn Khuổi Căng </t>
  </si>
  <si>
    <t>Thôn Khuổi Căng</t>
  </si>
  <si>
    <t>Đường GTNT cấp B theo thiết kế mẫu tại Quyết định số 1355/QĐ-UBND ngày 08/8/2018 của UBND tỉnh, Quyết định 991/QĐ-UBND ngày 03/6/2020; chiều dài khoảng 800 m</t>
  </si>
  <si>
    <t>Cải tạo nâng cấp đường vào khu sản xuất từ Trạm biến áp Quang Phong 2 đến Thôm Choong</t>
  </si>
  <si>
    <t>Hệ thống thủy lợi Khuổi Bao, thôn Nà Tha</t>
  </si>
  <si>
    <t>Đập dâng, ống dẫn nước HDPE, kênh bê tông mác 150, mặt cắt kênh 30x40; chiều dài khoảng 2500m; diện tích tưới khoảng 7 ha</t>
  </si>
  <si>
    <t>Hệ thống thủy lợi Khuổi Rầy</t>
  </si>
  <si>
    <t>Thôn Nà Rầy</t>
  </si>
  <si>
    <t>Đập dâng, ống dẫn nước HDPE, kênh bê tông mác 150, mặt cắt kênh 30x40; chiều dài khoảng 1000m; diện tích tưới khoảng 5 ha</t>
  </si>
  <si>
    <t>E.3</t>
  </si>
  <si>
    <t>Xã Côn Minh</t>
  </si>
  <si>
    <t>Nhà văn hóa thôn Lùng Vai</t>
  </si>
  <si>
    <t>Thôn Lùng Vai</t>
  </si>
  <si>
    <t>Nhà văn hóa thôn Nà Ngoàn</t>
  </si>
  <si>
    <t>Thôn nà Ngoàn</t>
  </si>
  <si>
    <t>Nhà văn hóa thôn Lùng Vạng</t>
  </si>
  <si>
    <t>Thôn Lùng Vạng</t>
  </si>
  <si>
    <t>Xây dựng Nhà văn hóa thôn 100 chỗ ngồi theo thiết kế mẫu tại Quyết định số 1355/QĐ-UBND ngày 08/8/2018 của UBND tỉnh (Ký hiệu VHT-100); Quyết định 991/QĐ-UBND ngày 03/6/2020</t>
  </si>
  <si>
    <t>Nâng cấp Đường Lùng Pảng Cốc Keng</t>
  </si>
  <si>
    <t>Thôn Lùng Pảng</t>
  </si>
  <si>
    <t>Đường GTNT cấp B theo thiết kế mẫu tại Quyết định số 1355/QĐ-UBND ngày 08/8/2018 của UBND tỉnh, Quyết định 991/QĐ-UBND ngày 03/6/2020; chiều dài khoảng 1000 m</t>
  </si>
  <si>
    <t>Nâng cấp Đường Cốc Keng - Cốc Xa</t>
  </si>
  <si>
    <t>Đường GTNT cấp B theo thiết kế mẫu tại Quyết định số 1355/QĐ-UBND ngày 08/8/2018 của UBND tỉnh, Quyết định 991/QĐ-UBND ngày 03/6/2020; chiều dài khoảng 2000 m</t>
  </si>
  <si>
    <t>Nâng cấp đường Áng Hin, Bản Cuôn</t>
  </si>
  <si>
    <t>Thôn Áng Hin</t>
  </si>
  <si>
    <t>Nâng cấp đường Vằng Cống thôn Nà Ngoàn</t>
  </si>
  <si>
    <t>Thôn Nà Ngoàn</t>
  </si>
  <si>
    <t>Nâng cấp mương thủy lợi Pác Bó</t>
  </si>
  <si>
    <t xml:space="preserve">Kênh bê tông mác 150, mặt cắt kênh 30x40; chiều dài khoảng 1000 m; </t>
  </si>
  <si>
    <t>E.4</t>
  </si>
  <si>
    <t>Xã Lương Thượng</t>
  </si>
  <si>
    <t xml:space="preserve">Nâng cấp hệ thống thủy lợi QL 279 - Hang Tồng </t>
  </si>
  <si>
    <t>Thôn Bản Giang</t>
  </si>
  <si>
    <t xml:space="preserve">Kênh bê tông mác 150, mặt cắt kênh 30x30; chiều dài khoảng 600m
</t>
  </si>
  <si>
    <t xml:space="preserve">Kênh bê tông mác 150, mặt cắt kênh 30x30; chiều dài khoảng 300m
</t>
  </si>
  <si>
    <t>Cải tạo nâng cấp hệ thống hồ đập Bản Giang</t>
  </si>
  <si>
    <t>Thôn Nà Làng</t>
  </si>
  <si>
    <t>Thôn Vằng Khít</t>
  </si>
  <si>
    <t>Cải tạo hệ thống thủy lợi Pác Lùng Cà - Nà Lọ</t>
  </si>
  <si>
    <t>E.5</t>
  </si>
  <si>
    <t>Xã Dương Sơn</t>
  </si>
  <si>
    <t xml:space="preserve">Đường bê tông trục thôn Nà Giàng </t>
  </si>
  <si>
    <t>Thôn Nà Giàng</t>
  </si>
  <si>
    <t>Đường GTNT cấp B theo thiết kế mẫu tại Quyết định số 1355/QĐ-UBND ngày 08/8/2018, Quyết định 991/QĐ-UBND ngày 03/6/2020 của tỉnh Bắc Kạn; chiều dài khoảng 1000m</t>
  </si>
  <si>
    <t>Đường bê tông trục thôn Nà Nen</t>
  </si>
  <si>
    <t>Thôn Nà Nen</t>
  </si>
  <si>
    <t>Mặt đường BTXM mác 200#, dày 14 cm, chiều rộng mặt đường B mặt = 3m; chiều dài khoảng 750m</t>
  </si>
  <si>
    <t>Đường bê tông trục thôn Khuổi Chang (Đoạn nối tiếp)</t>
  </si>
  <si>
    <t>Thôn Khuổi Chang</t>
  </si>
  <si>
    <t>Nâng cấp đường sản xuất Nả Háng - Rầy Ỏi</t>
  </si>
  <si>
    <t>Thôn Rầy Ỏi</t>
  </si>
  <si>
    <t>Đường GTNT cấp B theo thiết kế mẫu tại Quyết định số 1355/QĐ-UBND ngày 08/8/2018 của UBND tỉnh, Quyết định 991/QĐ-UBND ngày 03/6/2020; chiều dài khoảng 500 m</t>
  </si>
  <si>
    <t>Hệ thống thủy lợi Khung Xa</t>
  </si>
  <si>
    <t>Thôn Khung Xa</t>
  </si>
  <si>
    <t xml:space="preserve">Trạm bơm, bể chứa, kênh mương </t>
  </si>
  <si>
    <t>Nâng cấp kênh mương Khuổi Chạt - Nà Ngăm</t>
  </si>
  <si>
    <t>Thôn Nà Ngăm</t>
  </si>
  <si>
    <t>Kênh bê tông mác 150, mặt cắt kênh 30x30; chiều dài khoảng 500m</t>
  </si>
  <si>
    <t>Cầu Cốc Hắt - Nà Mình</t>
  </si>
  <si>
    <t>Thôn Nà Mình</t>
  </si>
  <si>
    <t xml:space="preserve">Dự kiến chiều dài cầu khoảng 12m. Chiều rộng mặt cầu: Bmặt = 3,0 m. Chiều rộng lan can cầu: Blc = 0,25 m x 2. Mố, trụ xây đá hộc M75, mặt cầu bằng BTCT
</t>
  </si>
  <si>
    <t>Nâng cấp hệ thống thủy lợi Vằng Xoong - Khuổi Kheo</t>
  </si>
  <si>
    <t>Thôn Khuổi Kheo</t>
  </si>
  <si>
    <t xml:space="preserve">Đập, kênh bê tông mác 150, mặt cắt kênh 30x30; chiều dài khoảng 700m; </t>
  </si>
  <si>
    <t>Nâng cấp kênh mương Nà Mới + Cốc Nhừ - Thôn Nà Phai</t>
  </si>
  <si>
    <t>Thôn Nà Phai</t>
  </si>
  <si>
    <t>Kênh bê tông mác 150, mặt cắt kênh 30x30; chiều dài khoảng 300m</t>
  </si>
  <si>
    <t xml:space="preserve">Nâng cấp kênh mương Nà Luông - Vằng Kheo </t>
  </si>
  <si>
    <t>Kênh bê tông mác 150, mặt cắt kênh 30x30; chiều dài khoảng 250m</t>
  </si>
  <si>
    <t>Nâng cấp đường nội đồng Cốc Pái -  Nà Ngăm</t>
  </si>
  <si>
    <t>Đường GTNT cấp B theo thiết kế mẫu tại Quyết định số 1355/QĐ-UBND ngày 08/8/2018 của UBND tỉnh, Quyết định 991/QĐ-UBND ngày 03/6/2020; chiều dài khoảng 250 m</t>
  </si>
  <si>
    <t>Nâng cấp kênh mương Lũng Bon - Nà Cà</t>
  </si>
  <si>
    <t>Kênh bê tông mác 150, mặt cắt kênh 30x30; chiều dài khoảng 800m</t>
  </si>
  <si>
    <t xml:space="preserve">Nâng cấp đường trục thôn Nà Khoa - Nà Thang </t>
  </si>
  <si>
    <t>Thôn Nà Khoa</t>
  </si>
  <si>
    <t>Nâng cấp đường trục thôn Khuổi Sluôn</t>
  </si>
  <si>
    <t>Thôn Khuổi Sluôn</t>
  </si>
  <si>
    <t>E.6</t>
  </si>
  <si>
    <t>Xã Trần Phú</t>
  </si>
  <si>
    <t>Nhà Văn hoá thôn Pá Phấy</t>
  </si>
  <si>
    <t>Thôn Pá Phấy, xã Trần Phú</t>
  </si>
  <si>
    <t>Xây dựng Nhà văn hóa thôn 50 chỗ ngồi theo thiết kế mẫu tại Quyết định số 1355/QĐ-UBND ngày 08/8/2018 của UBND tỉnh (Ký hiệu VHT-50); Quyết định 991/QĐ-UBND ngày 03/6/2020</t>
  </si>
  <si>
    <t>Đổ bê tông đường sản xuất Soong Sáo</t>
  </si>
  <si>
    <t>Thôn Nà Mới, xã Trần Phú</t>
  </si>
  <si>
    <t>Đường GTNT cấp C theo thiết kế mẫu tại Quyết định số 1355/QĐ-UBND ngày 08/8/2018 của UBND tỉnh; Quyết định số 991/QĐ-UBND ngày 03/6/2020; chiều dài khoảng 0,6km</t>
  </si>
  <si>
    <t>Đường bê tông Phiêng Pụt</t>
  </si>
  <si>
    <t>Thôn Phiêng Pụt, xã Trần Phú</t>
  </si>
  <si>
    <t>Đường Nà Lẹng</t>
  </si>
  <si>
    <t>Thôn Nà Noong, xã Trần Phú</t>
  </si>
  <si>
    <t>Giải phóng mặt bằng</t>
  </si>
  <si>
    <t>Cầu tràn liên hợp Nà Tảng</t>
  </si>
  <si>
    <t>Thôn Nà Tảng</t>
  </si>
  <si>
    <t xml:space="preserve">Dự kiến chiều dài cầu khoảng 15m. Chiều rộng mặt cầu: Bmặt = 5,0 m. Chiều rộng lan can cầu: Blc = 0,25 m x 2. Mố, trụ xây đá hộc M75, mặt cầu bằng BTCT
</t>
  </si>
  <si>
    <t>Mặt bằng có sẵn</t>
  </si>
  <si>
    <t>Xã trần Phú</t>
  </si>
  <si>
    <t>Cải tạo nâng cấp đường Tục Lừa - Bản Chang</t>
  </si>
  <si>
    <t>Thôn Nà Mển</t>
  </si>
  <si>
    <t>Giải phóng mặt bằng mở rộng nền đường và đổ bê tông đoạn đầu tuyến dài khoảng 200m, nền rộng 4 m</t>
  </si>
  <si>
    <t>Đường bê tông Vằng Lực</t>
  </si>
  <si>
    <t>Đường bê tông ngõ xóm Chộc Coóc</t>
  </si>
  <si>
    <t>Đường GTNT cấp B theo thiết kế mẫu tại Quyết định số 1355/QĐ-UBND ngày 08/8/2018 của UBND tỉnh, Quyết định 991/QĐ-UBND ngày 03/6/2020; chiều dài khoảng 300 m</t>
  </si>
  <si>
    <t>Đường sản xuất Cạm Lếch</t>
  </si>
  <si>
    <t>Thôn Khuổi A, xã Trần Phú</t>
  </si>
  <si>
    <t>Đường GTNT cấp D theo thiết kế mẫu tại Quyết định số 1355/QĐ-UBND ngày 08/8/2018 của UBND tỉnh; Quyết định số 991/QĐ-UBND ngày 03/6/2020; chiều dài khoảng 500m</t>
  </si>
  <si>
    <t>Cầu Bản Đâng</t>
  </si>
  <si>
    <t>Thôn Bản Đâng, xã Trần Phú</t>
  </si>
  <si>
    <t xml:space="preserve">Dự kiến chiều dài cầu khoảng 8m. Chiều rộng mặt cầu: Bmặt = 6 m. Chiều rộng lan can cầu: Blc = 0,25 m x 2. Mố, trụ cầu bằng BTCT </t>
  </si>
  <si>
    <t>Cải tạo hệ thống thủy lợi Lủng Lừa - Nà Luông</t>
  </si>
  <si>
    <t>Lắp đặt ống nước có đường kính khoảng 14cm, chiều dài 1,5km, phục vụ nước tưới cánh đồng Nà Luông diện tích 4ha</t>
  </si>
  <si>
    <t>Mở mới đường Nà phấy</t>
  </si>
  <si>
    <t>Thôn Nà Liềng, xã Trần Phú</t>
  </si>
  <si>
    <t xml:space="preserve">Mở mới tuyến đường, chiều dài khoảng 1000 m. Nền đường rộng: Bn = 5m, mặt đường rộng: Bmặt = 4,0 m </t>
  </si>
  <si>
    <t>Mở mới đường bê tông vào bãi rác xã Trần Phú</t>
  </si>
  <si>
    <t>Mở mới tuyến đường, chiều dài khoảng 1000 m. Nền đường rộng: Bn = 4m, mặt đường rộng: Bmặt = 3,0 m. Lề đường rộng: Blề = 0,5 m x 2. Mặt đường cấp phối</t>
  </si>
  <si>
    <t>E.7</t>
  </si>
  <si>
    <t>Xã Cường Lợi</t>
  </si>
  <si>
    <t>Đường ngõ xóm đến khu sản xuất</t>
  </si>
  <si>
    <t>Thôn Nặm Dắm xã Cường Lợi</t>
  </si>
  <si>
    <t xml:space="preserve">Đường GTNT cấp B theo thiết kế mẫu tại Quyết định số 1355/QĐ-UBND ngày 08/8/2018 của UBND tỉnh, Quyết định 991/QĐ-UBND ngày 03/6/2020; </t>
  </si>
  <si>
    <t>Xây dựng cầu Nà Chúa vào khu sản xuất</t>
  </si>
  <si>
    <t>Thôn Nà Tát xã Cường Lợi</t>
  </si>
  <si>
    <t>Dự kiến chiều dài cầu khoảng 5m. Chiều rộng mặt cầu: Bmặt = 3,5 m. Chiều rộng lan can cầu: Blc = 0,3 m x 2. Mố, trụ xây đá hộc M75, mặt cầu bằng BTCT M200</t>
  </si>
  <si>
    <t xml:space="preserve">Đường ngõ xóm thôn Nà Sang xã Cường Lợi </t>
  </si>
  <si>
    <t>Thôn Nà Sang xã Cường Lợi</t>
  </si>
  <si>
    <t>Đường ngõ xóm đến khu sản xuất (đoạn 2)</t>
  </si>
  <si>
    <t>Đường ngõ xóm thôn Nà Sang xã Cường Lợi (đoạn 2)</t>
  </si>
  <si>
    <t>Cải tạo, nâng cấp Nhà văn hoá thôn Nà Sang</t>
  </si>
  <si>
    <t>Xây tường rào, cổng gạch chỉ đặc mác 75#, VXM mác 50#, dài khoảng 100m, sân bê tông XM mác 200#, dầy 10cm rộng S = 200m2, lợp mái che bằng tôn diện tích khoảng 80m2, nhà vệ sinh theo thiết kế mẫu WC:01</t>
  </si>
  <si>
    <t xml:space="preserve">Xây dựng cầu Cốc Rượi </t>
  </si>
  <si>
    <t>Dự kiến chiều dài cầu khoảng 5m. Chiều rộng mặt cầu: Bmặt = 3,5 m. Mố, trụ xây đá hộc M75, mặt cầu bằng BTCT M200</t>
  </si>
  <si>
    <t>Cải tạo, nâng cấp nhà văn hoá thôn Nặm Dắm</t>
  </si>
  <si>
    <t>Xây tường rào, cổng gạch chỉ đặc mác 75#, VXM mác 50#, dài khoảng 40m, sân bê tông XM mác 200#, dầy 10cm rộng S = 260m2, đường vào dài khoảng 25m, đổ BTXM mác 200# dầy 14cm.</t>
  </si>
  <si>
    <t xml:space="preserve">Sửa chữa nâng cấp đập, kênh mương Nà Sang </t>
  </si>
  <si>
    <t>Kênh bê tông mác 150, mặt cắt kênh 30x30</t>
  </si>
  <si>
    <t xml:space="preserve">Đường bê tông đường vào khu sản xuất Slọ Dắm, thôn Nặm Dắm </t>
  </si>
  <si>
    <t xml:space="preserve">Đường vào khu sản xuất Pác Phai, thôn Nà Sang </t>
  </si>
  <si>
    <t xml:space="preserve">Đường vào khu sản xuất Rọ Nghiều - Cam Lậc,  thôn Nà Tát </t>
  </si>
  <si>
    <t>E.8</t>
  </si>
  <si>
    <t>Xã Cư Lễ</t>
  </si>
  <si>
    <t xml:space="preserve">Đường bê tông nội thôn Khuổi Quân </t>
  </si>
  <si>
    <t>Thôn Khuổi Quân</t>
  </si>
  <si>
    <t>Đường bê tông QL3B, Cốc Xả- Khuổi Luộng</t>
  </si>
  <si>
    <t>Thôn Pò Rì</t>
  </si>
  <si>
    <t>Đường GTNT cấp B theo thiết kế mẫu tại Quyết định số 1355/QĐ-UBND ngày 08/8/2018 của UBND tỉnh, Quyết định 991/QĐ-UBND ngày 03/6/2020; chiều dài khoảng 1400 m</t>
  </si>
  <si>
    <t>Đường nội thôn QL3B -Nà Dài</t>
  </si>
  <si>
    <t>Thôn Nà Dài</t>
  </si>
  <si>
    <t>Đường bê tông Cặm Mjầu - Nộc Pẩư</t>
  </si>
  <si>
    <t>Thôn Cặm Mjầu</t>
  </si>
  <si>
    <t>Đường GTNT cấp B theo thiết kế mẫu tại Quyết định số 1355/QĐ-UBND ngày 08/8/2018 của UBND tỉnh, Quyết định 991/QĐ-UBND ngày 03/6/2020; chiều dài khoảng 460 m</t>
  </si>
  <si>
    <t>Mở mới đường liên thôn Khau Pần - QL3B</t>
  </si>
  <si>
    <t>Thôn Khau Pần</t>
  </si>
  <si>
    <t xml:space="preserve">Mở mới tuyến đường, chiều dài khoảng 1300 m. Nền đường rộng: Bn = 4m, mặt đường rộng: Bmặt = 3,0 m </t>
  </si>
  <si>
    <t>Mở mới đường sản xuất Cặm Mjầu - Thôm Phéc</t>
  </si>
  <si>
    <t>Mở mới tuyến đường, chiều dài khoảng 1100 m. Nền đường rộng: Bn = 4m, mặt đường rộng: Bmặt = 3,0 m. Lề đường rộng: Blề = 0,5 m x 2. Mặt đường cấp phối</t>
  </si>
  <si>
    <t>Mở mới đường sản xuất Cặm Mjầu – Cốc Cọng</t>
  </si>
  <si>
    <t>Mở mới tuyến đường, chiều dài khoảng 1100 m. Nền đường rộng: Bn = 4m, mặt đường rộng: Bmặt = 3,0 m. Lề đường rộng: Blề = 0,5 m x 2</t>
  </si>
  <si>
    <t xml:space="preserve">Mương thủy lợi Cốc Mười </t>
  </si>
  <si>
    <t>Đập, kênh bê tông mác 150, mặt cắt kênh 30x30; chiều dài khoảng 1.200 m</t>
  </si>
  <si>
    <t>Mở mới tuyến đường, chiều dài khoảng 1300 m. Nền đường rộng: Bn = 4m, mặt đường rộng: Bmặt = 3,0 m đổ BTXM. Lề đường rộng: Blề = 0,5 m x 2</t>
  </si>
  <si>
    <t>Mương phai Nà Chả</t>
  </si>
  <si>
    <t>Thôn Bản Pò</t>
  </si>
  <si>
    <t>Đập, kênh bê tông mác 150, mặt cắt kênh 30x30; chiều dài khoảng 500 m</t>
  </si>
  <si>
    <t>Đổ bê tông Khuổi Dìa</t>
  </si>
  <si>
    <t>Thôn Khau Ngoà</t>
  </si>
  <si>
    <t>Đổ bê tông đường sản xuất Cốc Mòn</t>
  </si>
  <si>
    <t>Thôn Pò Pái</t>
  </si>
  <si>
    <t>E.9</t>
  </si>
  <si>
    <t>Xã Đổng Xá</t>
  </si>
  <si>
    <t>Đường bê tông Khuổi Nạc</t>
  </si>
  <si>
    <t>Thôn Khuổi Nạc</t>
  </si>
  <si>
    <t>Đường GTNT cấp B theo thiết kế mẫu tại Quyết định số 1355/QĐ-UBND ngày 08/8/2018 của UBND tỉnh, Quyết định 991/QĐ-UBND ngày 03/6/2020; chiều dài khoảng 1.200 m</t>
  </si>
  <si>
    <t>Nhà Văn hóa thôn Lũng Tao</t>
  </si>
  <si>
    <t>Thôn Lũng Tao</t>
  </si>
  <si>
    <t>Xây dựng Nhà văn hóa thôn 50 chỗ ngồi theo thiết kế mẫu tại Quyết định số 1355/QĐ-UBND ngày 08/8/2018 của UBND tỉnh (Ký hiệu VHT-50); Quyết định 991/QĐ-UBND ngày 03/6/2021</t>
  </si>
  <si>
    <t>Đường bê tông vào Trạm y tế xã Đổng Xá</t>
  </si>
  <si>
    <t>Đường GTNT cấp B theo thiết kế mẫu tại Quyết định số 1355/QĐ-UBND ngày 08/8/2018 của UBND tỉnh, Quyết định 991/QĐ-UBND ngày 03/6/2020; chiều dài khoảng 100 m</t>
  </si>
  <si>
    <t>Nhà Văn hóa thôn Khuổi Nà</t>
  </si>
  <si>
    <t>Thôn Khuổi Nà</t>
  </si>
  <si>
    <t>Xây dựng Nhà văn hóa thôn 80 chỗ ngồi theo thiết kế mẫu tại Quyết định số 1355/QĐ-UBND ngày 08/8/2018 của UBND tỉnh (Ký hiệu VHT-80); Quyết định 991/QĐ-UBND ngày 03/6/2021</t>
  </si>
  <si>
    <t>Xây mới nhà Văn hóa thôn Nà Thác</t>
  </si>
  <si>
    <t>Thôn Nà Thác</t>
  </si>
  <si>
    <t>Xây dựng Nhà văn hóa thôn 100 chỗ ngồi theo thiết kế mẫu tại Quyết định số 1355/QĐ-UBND ngày 08/8/2018 của UBND tỉnh (Ký hiệu VHT-100); Quyết định 991/QĐ-UBND ngày 03/6/2022</t>
  </si>
  <si>
    <t>Nhà Văn hóa thôn Kẹn Cò</t>
  </si>
  <si>
    <t>Thôn Kẹn Cò</t>
  </si>
  <si>
    <t>Đường liên thôn Nà Thác - Khuổi Nà</t>
  </si>
  <si>
    <t xml:space="preserve">Đường bê tông Khuổi Tè </t>
  </si>
  <si>
    <t>Nhà Văn hóa thôn Khuổi Nạc</t>
  </si>
  <si>
    <t>Đường bê tông Nà Khanh - Khuổi Nạc</t>
  </si>
  <si>
    <t>Đường bê tông Nà Thác -Khuổi Duốc</t>
  </si>
  <si>
    <t xml:space="preserve">Đường bê tông Nà Khanh </t>
  </si>
  <si>
    <t>Thôn Nà Khanh</t>
  </si>
  <si>
    <t>Đường bê tông Khuổi Cáy</t>
  </si>
  <si>
    <t>Thôn Khuổi Cáy</t>
  </si>
  <si>
    <t>Nhà Văn hóa thôn Khuổi Cáy</t>
  </si>
  <si>
    <t>E.10</t>
  </si>
  <si>
    <t>Xã Văn Lang</t>
  </si>
  <si>
    <t>Xây dựng phòng học bộ môn trường TH&amp;THCS Lạng San, xã Văn Lang</t>
  </si>
  <si>
    <t>Nhà 2 tầng gồm 4 phòng bộ môn, mái tôn chống nóng diện tích sàn 240m2</t>
  </si>
  <si>
    <t>Cải tạo nâng cấp đường trục thôn Cốc Sâu - Bản Sảng,  xã Văn Lang</t>
  </si>
  <si>
    <t>Thôn Bản Sảng</t>
  </si>
  <si>
    <t>Đường GTNT cấp B theo thiết kế mẫu tại Quyết định số 1355/QĐ-UBND ngày 08/8/2018 của UBND tỉnh, Quyết định 991/QĐ-UBND ngày 03/6/2020; chiều dài khoảng 1900 m</t>
  </si>
  <si>
    <t>Nhà văn hóa thôn To Đoóc xã Văn Lang</t>
  </si>
  <si>
    <t>Thôn To Đoóc</t>
  </si>
  <si>
    <t>Nhà văn hóa 80 chỗ ngồi, theo thiết kế mẫu quy định tại QĐ số 1355/QĐ-UBND ngày 08/8/2018 của UBND tỉnh Bắc Kạn</t>
  </si>
  <si>
    <t>Nhà văn hóa thôn Nà Diệc xã Văn Lang</t>
  </si>
  <si>
    <t>Thôn Nà Diệc</t>
  </si>
  <si>
    <t xml:space="preserve">Xây dựng nhà lớp học trườngTH&amp;THCS Lạng San (Điểm trường Bản Sảng) </t>
  </si>
  <si>
    <t>Nhà 1 tầng, 2 phòng, mái tôn chống nóng diện tích sàn 220 m2; công trình vệ sinh</t>
  </si>
  <si>
    <t>Đường điện 0,4 KV đoạn nhà Văn hóa Thẳm Mu,  xã Văn Lang</t>
  </si>
  <si>
    <t>Thôn Thảm Mu</t>
  </si>
  <si>
    <t>Xây dựng 1000m đường dây 0,4 KV; cột BT vuông H8, 5 B chế tạo theo TCVN, móng cột bê tông cốt thép</t>
  </si>
  <si>
    <t>Xây dựng cầu dân sinh Nà Kham thôn Nà Dường, xã Văn Lang</t>
  </si>
  <si>
    <t>Thôn Nà Dường</t>
  </si>
  <si>
    <t>Cầu BTCT chiều dài L= 5m, r=3,5m bao gômg cả lan can cầu, r(mặt sử dụng)=3m, xây trụ đỡ giữa cầu, kè hai bên trống sói chân cầu thượng, hạ lưu L=20m, h=3m, r(đáy)=1,5m, r(mặt)=0,5m, đổ bê tông đường 02 bên cầu mác 200, nót đáy bằng đá 1x2 dày 0,12m,  L=150m, r=3m, h=0,18m</t>
  </si>
  <si>
    <t>Xây dựng cầu sản xuất Vằng Sấn thôn Cốc Phia, xã Văn Lang</t>
  </si>
  <si>
    <t>Cầu BTCT chiều dài L= 9m, r=3,5m bao gômg cả lan can cầu, r(mặt sử dụng)=3m, xây trụ đỡ giữa cầu, kè hai bên trống sói chân cầu thượng, hạ lưu L=20m, h=5m, r(đáy)=1,5m, r(mặt)=0,5m, đổ bê tông đường 02 bên cầu mác 200, nót đáy bằng đá 1x2 dày 0,12m,  L=50m, r=3m, h=0,18m</t>
  </si>
  <si>
    <t>Cải tạo, nâng cấp đường sản xuất Bản Kén - Nặm Dân</t>
  </si>
  <si>
    <t>Bản Kén, xã Vănh Lang</t>
  </si>
  <si>
    <t>Đường GTNT cấp B theo thiết kế mẫu tại Quyết định số 1355/QĐ-UBND ngày 08/8/2018 của UBND tỉnh, Quyết định 991/QĐ-UBND ngày 03/6/2020; chiều dài khoảng 1500 m</t>
  </si>
  <si>
    <t>E.11</t>
  </si>
  <si>
    <t>Xã Văn Vũ</t>
  </si>
  <si>
    <t>Đường bê tông Thôm Khon - Khuổi Tàn (GĐ1)</t>
  </si>
  <si>
    <t>Thôn Thôm Khon</t>
  </si>
  <si>
    <t>Đường bê tông Thôm Khinh - Khuổi Khuông</t>
  </si>
  <si>
    <t>Thôn Nặm Rặc</t>
  </si>
  <si>
    <t>Đường bê tông Nà Tùm - Khuổi Phầy</t>
  </si>
  <si>
    <t>Thôn Khuổi Phầy</t>
  </si>
  <si>
    <t>Nhà văn hóa thôn Pò Rản</t>
  </si>
  <si>
    <t>Thôn Pò Rản</t>
  </si>
  <si>
    <t>Xây dựng Nhà văn hóa thôn 80 chỗ ngồi theo thiết kế mẫu tại Quyết định số 1355/QĐ-UBND ngày 08/8/2018 của UBND tỉnh (Ký hiệu VHT-50); Quyết định 991/QĐ-UBND ngày 03/6/2020</t>
  </si>
  <si>
    <t>Đường bê tông Rạo Vài - Cốc Hón</t>
  </si>
  <si>
    <t>Thôn Khuổi Mụ</t>
  </si>
  <si>
    <t xml:space="preserve">Đường bê tông Khuổi Tàn </t>
  </si>
  <si>
    <t>Đường GTNT cấp B theo thiết kế mẫu tại Quyết định số 1355/QĐ-UBND ngày 08/8/2018 của UBND tỉnh, Quyết định 991/QĐ-UBND ngày 03/6/2020; chiều dài khoảng 1200 m</t>
  </si>
  <si>
    <t>Đường bê tông Chất Lường - Nà Tòng</t>
  </si>
  <si>
    <t>Thôn Nà Cằm</t>
  </si>
  <si>
    <t>Nhà văn hóa thôn Pò Pheo</t>
  </si>
  <si>
    <t>Thôn Pò Pheo</t>
  </si>
  <si>
    <t>Đường bê tông Cốc Cọ - Tàng Luông</t>
  </si>
  <si>
    <t>Thôn Nà Ca</t>
  </si>
  <si>
    <t>Đường GTNT cấp B theo thiết kế mẫu tại Quyết định số 1355/QĐ-UBND ngày 08/8/2018 của UBND tỉnh, Quyết định 991/QĐ-UBND ngày 03/6/2020; chiều dài khoảng 900m</t>
  </si>
  <si>
    <t>Đường bê tông ngõ xóm Nà Quáng</t>
  </si>
  <si>
    <t>Thôn Nà Quáng</t>
  </si>
  <si>
    <t>Nhà văn hóa thôn Pò Cạu</t>
  </si>
  <si>
    <t>Thôn Pò Cạu</t>
  </si>
  <si>
    <t>Đường bê tông Pò Lải - Xum Chộc</t>
  </si>
  <si>
    <t>Thôn Pò Lải</t>
  </si>
  <si>
    <t>Đường bê tông thôn Khuổi Phầy</t>
  </si>
  <si>
    <t>Nhà văn hóa thôn Thôm Khon</t>
  </si>
  <si>
    <t>Nhà văn hóa thôn Nặm Rặc</t>
  </si>
  <si>
    <t>E.12</t>
  </si>
  <si>
    <t>Xã Văn Minh</t>
  </si>
  <si>
    <t>Đường trục thôn từ Nhà văn hóa thôn Nà Piẹt - Vằng Piẹt</t>
  </si>
  <si>
    <t>Thôn Nà Piẹt</t>
  </si>
  <si>
    <t>Nhà Văn hóa thôn Nà Mực</t>
  </si>
  <si>
    <t> Thôn Nà Mực</t>
  </si>
  <si>
    <t>Nhà Văn hóa thôn Nà Deng</t>
  </si>
  <si>
    <t> Thôn Nà Deng</t>
  </si>
  <si>
    <t>Nhà Văn hóa thôn Khuổi Tục</t>
  </si>
  <si>
    <t> Thôn Khuổi Tục</t>
  </si>
  <si>
    <t xml:space="preserve">Đường trục thôn Khuổi Liềng </t>
  </si>
  <si>
    <t xml:space="preserve">Thôn Khuổi Liềng </t>
  </si>
  <si>
    <t>Đường trục thôn Pác Liềng - Nà Ngòa</t>
  </si>
  <si>
    <t xml:space="preserve">Thôn Pác Liềng, Nà Ngòa </t>
  </si>
  <si>
    <t>Đường GTNT cấp B theo thiết kế mẫu tại Quyết định số 1355/QĐ-UBND ngày 08/8/2018 của UBND tỉnh, Quyết định 991/QĐ-UBND ngày 03/6/2020; chiều dài khoảng 1800 m</t>
  </si>
  <si>
    <t>Đường trục thôn Vằng Kho, thôn Khuổi tục</t>
  </si>
  <si>
    <t xml:space="preserve">Thôn Khuổi Tục </t>
  </si>
  <si>
    <t>Nâng cấp hệ thống thủy lợi Khuổi Khiếu , thôn Nà Ro</t>
  </si>
  <si>
    <t>Thôn Nà Ro</t>
  </si>
  <si>
    <t xml:space="preserve">Đập, kênh bê tông mác 150, mặt cắt kênh 30x30; chiều dài khoảng 2500m; </t>
  </si>
  <si>
    <t>Nâng cấp hệ thống thủy lợi Cốc Lải, thôn Khuổi Tục</t>
  </si>
  <si>
    <t>Thôn Khuổi Tục</t>
  </si>
  <si>
    <t xml:space="preserve">Đập, kênh bê tông mác 150, mặt cắt kênh 30x30; chiều dài khoảng 1200m; </t>
  </si>
  <si>
    <t>Thôn Nà Dụ</t>
  </si>
  <si>
    <t xml:space="preserve">Đập, kênh bê tông mác 150, mặt cắt kênh 30x30; chiều dài khoảng 400m; </t>
  </si>
  <si>
    <t>Nâng cấp hệ thống thủy lợi Sàng Lường, thôn Nà Mực</t>
  </si>
  <si>
    <t>Thôn Nà Mực</t>
  </si>
  <si>
    <t xml:space="preserve">Đập, kênh bê tông mác 150, mặt cắt kênh 30x30; chiều dài khoảng 1000m; </t>
  </si>
  <si>
    <t>Cải tạo đường điện 0,4 KV thôn Nà Mực, xã văn Minh</t>
  </si>
  <si>
    <t>Xây dựng 700m đường dây 0,4 KV; xây mới 18 cột BT vuông H8, 5 B chế tạo theo TCVN, móng cột bê tông cốt thép</t>
  </si>
  <si>
    <t>Cải tạo đường điện 0,4 KV thôn Khuổi Tục, xã Văn Minh</t>
  </si>
  <si>
    <t>Xây dựng 1500m đường dây 0,4 KV; xây mới 40 cột BT vuông H8, 5 B chế tạo theo TCVN, móng cột bê tông cốt thép</t>
  </si>
  <si>
    <t>Cải tạo đường điện 0,4 KV thôn Khuổi Piấu - Nà Mực, xã Văn Minh</t>
  </si>
  <si>
    <t>Xây dựng 1500m đường dây 0,4 KV; xây mới 50 cột BT vuông H8, 5 B chế tạo theo TCVN, móng cột bê tông cốt thép</t>
  </si>
  <si>
    <t>E.13</t>
  </si>
  <si>
    <t>Xã Sơn Thành</t>
  </si>
  <si>
    <t>Nâng cấp hệ thống thủy lợi đập Cốc Mạ, thôn Nà Pàn</t>
  </si>
  <si>
    <t>Thôn Nà Pàn</t>
  </si>
  <si>
    <t xml:space="preserve">Đập, kênh bê tông mác 150, mặt cắt kênh 30x30; chiều dài khoảng 1600m; </t>
  </si>
  <si>
    <t>Nâng cấp đường vào khu sản xuất Nà Khon</t>
  </si>
  <si>
    <t>Thôn Nà Khon</t>
  </si>
  <si>
    <t>Mặt đường cũ rộng 2m. Mở rộng đường: Bn = 4m, mặt đường rộng: Bmặt = 3,0 m.  Tổng chiều dài khoảng 700 m. Mặt đường đổ bê tông mác 200, đá 1x2 dày 16cm</t>
  </si>
  <si>
    <t>Đập, mương Pựt Cầu thôn Pò Chẹt</t>
  </si>
  <si>
    <t>Thôn Pò Chẹt</t>
  </si>
  <si>
    <t xml:space="preserve">Đập, kênh bê tông mác 150, mặt cắt kênh 30x30; chiều dài khoảng 300m; </t>
  </si>
  <si>
    <t>Trạm bơm điện thôn Nà Khon</t>
  </si>
  <si>
    <t xml:space="preserve">Nhà trạm 25m2, máy bơm, bể xả 50m3, hệ thống đường ống PVC khoảng 200m
Diện tích tưới 4ha; 25 hộ dân hưởng lợi
</t>
  </si>
  <si>
    <t>Đường bê tông Bản Cáu - Khuổi Kháp</t>
  </si>
  <si>
    <t>Thôn Khuổi Kháp</t>
  </si>
  <si>
    <t>Mặt đường cũ rộng 2,5 m. Mở rộng đường: Bn = 4m, mặt đường rộng: Bmặt = 3,0 m.  Tổng chiều dài khoảng 400 m. Mặt đường đổ bê tông mác 200, đá 1x2 dày 16cm</t>
  </si>
  <si>
    <t>Cải tạo hệ thống thủy lợi Thôm Pục</t>
  </si>
  <si>
    <t>Thôn Thôm Pục</t>
  </si>
  <si>
    <t xml:space="preserve">Kênh bê tông mác 150, mặt cắt kênh 30x30; chiều dài khoảng 1000 m; </t>
  </si>
  <si>
    <t>Đường bê tông Khuổi Luông (đoạn nối tiếp)</t>
  </si>
  <si>
    <t>Thôn Khuổi Luông</t>
  </si>
  <si>
    <t>Mặt đường cũ rộng 2,5 m. Mở rộng đường: Bn = 4m, mặt đường rộng: Bmặt = 3,0 m.  Tổng chiều dài khoảng 300 m. Mặt đường đổ bê tông mác 200, đá 1x2 dày 16cm</t>
  </si>
  <si>
    <t>Đường ngõ xóm đến nhà Văn hóa thôn Nà Kèn</t>
  </si>
  <si>
    <t>Thôn Nà Kèn</t>
  </si>
  <si>
    <t>Nâng cấp đường vào khu sản xuất To Đoóc</t>
  </si>
  <si>
    <t>Mặt đường cũ rộng 1,5 m. Mở rộng đường: Bn = 4m, mặt đường rộng: Bmặt = 3,0 m.  Tổng chiều dài khoảng 700 m. Mặt đường đổ bê tông mác 200, đá 1x2 dày 16cm</t>
  </si>
  <si>
    <t>Cải tạo hệ thống thủy lợi Nà Pùng</t>
  </si>
  <si>
    <t>Thôn Pan Khe</t>
  </si>
  <si>
    <t>Nâng cấp đường vào khu sản xuất Cốc Pàu</t>
  </si>
  <si>
    <t>Mặt đường cũ rộng 1m. Mở rộng đường: Bn = 4m, mặt đường rộng: Bmặt = 3,0 m.  Tổng chiều dài khoảng 2000 m. Mặt đường đổ bê tông mác 200, đá 1x2 dày 16cm</t>
  </si>
  <si>
    <t>Cải tạo đường điện 0,4 KV thôn Khuổi Luông</t>
  </si>
  <si>
    <t>Nhà Văn Hóa thôn Khuổi Kháp</t>
  </si>
  <si>
    <t>Nâng cấp đường ngõ xóm Rọ Điểng - Pan Khe</t>
  </si>
  <si>
    <t>Đường bê tông Ngõ Xóm Khuổi Luộng</t>
  </si>
  <si>
    <t>Thôn Thanh Sơn</t>
  </si>
  <si>
    <t>Đường GTNT cấp B theo thiết kế mẫu tại Quyết định số 1355/QĐ-UBND ngày 08/8/2018 của UBND tỉnh, Quyết định 991/QĐ-UBND ngày 03/6/2020; chiều dài khoảng 200 m</t>
  </si>
  <si>
    <t>Thôn Hát Lài</t>
  </si>
  <si>
    <t>Cải tạo đường điện 0,4 KV Nà Quang - Thôn Nà Pàn</t>
  </si>
  <si>
    <t xml:space="preserve">Xây dựng 500m đường dây 0,4 KV; xây mới 15 cột BT vuông H8, 5 B chế tạo theo TCVN, móng cột bê tông </t>
  </si>
  <si>
    <t>Nhà Văn hóa thôn Thanh Sơn</t>
  </si>
  <si>
    <t>Nhà Văn hóa thôn Hát Lài</t>
  </si>
  <si>
    <t>E.14</t>
  </si>
  <si>
    <t>Xã Kim Lư</t>
  </si>
  <si>
    <t>Đường bê tông trục thôn Khum Mằn</t>
  </si>
  <si>
    <t>Thôn Khum Mằn</t>
  </si>
  <si>
    <t>Đường GTNT cấp B theo thiết kế mẫu tại Quyết định số 1355/QĐ-UBND ngày 08/8/2018 của UBND tỉnh, Quyết định 991/QĐ-UBND ngày 03/6/2020; chiều dài khoảng 600 m</t>
  </si>
  <si>
    <t>Cải tạo đường điện 0,4 KV thôn Khum Mằn</t>
  </si>
  <si>
    <t xml:space="preserve">Xây dựng 1000m đường dây 0,4 KV; xây mới 15 cột BT vuông H8, 5 B chế tạo theo TCVN, móng cột bê tông </t>
  </si>
  <si>
    <t>Kênh, mương Cốc Phường</t>
  </si>
  <si>
    <t xml:space="preserve">Xây mới mặt cắt kênh 40x30; chiều dài khoảng 400 m; </t>
  </si>
  <si>
    <t>E.15</t>
  </si>
  <si>
    <t>Xã Xuân Dương</t>
  </si>
  <si>
    <t>Nâng cấp đường trục thôn từ Nà Pinh - Bó Chinh đến nhà văn hóa thôn Nà Chang</t>
  </si>
  <si>
    <t>Thôn Nà Chang</t>
  </si>
  <si>
    <t>Mặt đường cũ rộng 1,5 m. Mở rộng đường: Bn = 4m, mặt đường rộng: Bmặt = 3,0 m.  Tổng chiều dài khoảng 2000 m. Mặt đường đổ bê tông mác 200, đá 1x2 dày 16cm</t>
  </si>
  <si>
    <t xml:space="preserve">Nhà văn hóa thôn Nà Chang </t>
  </si>
  <si>
    <t>Nâng cấp đường Pác Tuồng - Khản Va,  thôn Nà Dăm</t>
  </si>
  <si>
    <t>Thôn Nà Dăm</t>
  </si>
  <si>
    <t>Mặt đường cũ rộng 1 m. Mở rộng đường: Bn = 4m, mặt đường rộng: Bmặt = 3,0 m.  Tổng chiều dài khoảng 1600 m. Mặt đường đổ bê tông mác 200, đá 1x2 dày 16cm</t>
  </si>
  <si>
    <t>Nhà văn hóa thôn Bắc Sen</t>
  </si>
  <si>
    <t>Thôn Bắc Sen</t>
  </si>
  <si>
    <t>Nâng cấp đường ngõ xóm từ Cốc Mìn đi Thang Nà</t>
  </si>
  <si>
    <t>Thôn Cốc Càng</t>
  </si>
  <si>
    <t>Mặt đường cũ rộng 1 m. Mở rộng đường: Bn = 4m, mặt đường rộng: Bmặt = 3,0 m.  Tổng chiều dài khoảng 1000 m. Mặt đường đổ bê tông mác 200, đá 1x2 dày 16cm</t>
  </si>
  <si>
    <t xml:space="preserve">Nhà văn hóa thôn Cốc Càng </t>
  </si>
  <si>
    <t>Nâng cấp đường liên thôn Nà Chang đến Bãi rác, thôn Cốc Càng</t>
  </si>
  <si>
    <t>Mặt đường cũ rộng 1 m. Mở rộng đường: Bn = 4m, mặt đường rộng: Bmặt = 3,0 m.  Tổng chiều dài khoảng 1500 m. Mặt đường đổ bê tông mác 200, đá 1x2 dày 16cm</t>
  </si>
  <si>
    <t>Nâng cấp đường trục thôn từ ĐT 256 - Khau Chiếu</t>
  </si>
  <si>
    <t>Thôn Thôm Chản</t>
  </si>
  <si>
    <t>Mặt đường cũ rộng 1,5 m. Mở rộng đường: Bn = 4m, mặt đường rộng: Bmặt = 3,0 m.  Tổng chiều dài khoảng 1000 m. Mặt đường đổ bê tông mác 200, đá 1x2 dày 16cm</t>
  </si>
  <si>
    <t>Nhà văn hóa thôn Nà Cai</t>
  </si>
  <si>
    <t>Thôn Nà Cai</t>
  </si>
  <si>
    <t>Nâng cấp đường liên thôn Nà Cai đến Khuổi Shuôn</t>
  </si>
  <si>
    <t>Nâng cấp đường từ Nhà văn hóa thôn Cốc Càng đến Cốc Duống</t>
  </si>
  <si>
    <t>Nâng cấp đường trục thôn từ Nhà văn hóa thôn Nà Chang đến Cốc Lùng</t>
  </si>
  <si>
    <t>Mặt đường cũ rộng 1,5 m. Mở rộng đường: Bn = 4m, mặt đường rộng: Bmặt = 3,0 m.  Tổng chiều dài khoảng 600 m. Mặt đường đổ bê tông mác 200, đá 1x2 dày 16cm</t>
  </si>
  <si>
    <t>Mở mới đường từ ĐT256 đến Trạm Y tế - Trường Mần Non Xuân Dương</t>
  </si>
  <si>
    <t>Thôn Khu Chợ</t>
  </si>
  <si>
    <t>Mở mới tuyến đường, chiều dài khoảng 200 m. Nền đường rộng: Bn = 4m, mặt đường rộng: Bmặt = 3,0 m. Lề đường rộng: Blề = 0,5 m x 2. Mặt đường đổ bê tông mác 200, đá 1x2 dày 16cm</t>
  </si>
  <si>
    <t>E.16</t>
  </si>
  <si>
    <t>Xã Liêm Thủy</t>
  </si>
  <si>
    <t xml:space="preserve">Nâng cấp đường Lũng Danh </t>
  </si>
  <si>
    <t>Thôn Lũng Danh</t>
  </si>
  <si>
    <t>Đường GTNT cấp B theo thiết kế mẫu tại Quyết định số 1355/QĐ-UBND ngày 08/8/2018 của UBND tỉnh, Quyết định 991/QĐ-UBND ngày 03/6/2020; chiều dài khoảng 1600 m</t>
  </si>
  <si>
    <t>Nhà Văn hóa thôn Lũng Danh</t>
  </si>
  <si>
    <t>Nhà Văn hóa thôn Bản cải</t>
  </si>
  <si>
    <t>Thôn Bản Cải</t>
  </si>
  <si>
    <t>Hoàn thiện công trình phụ Trạm y tế xã Liêm Thủy</t>
  </si>
  <si>
    <t>Nhà kho diện tích 30 m2</t>
  </si>
  <si>
    <t>Hệ thống thủy lợi Vàng Đông - Khuổi Tấy B</t>
  </si>
  <si>
    <t xml:space="preserve"> Thôn Khuổi tấy B</t>
  </si>
  <si>
    <t xml:space="preserve">Đập, ống dẫn nước; chiều dài khoảng 1500m; </t>
  </si>
  <si>
    <t>Hệ thống thủy lợi Khuổi Kim, thôn Nà Pì</t>
  </si>
  <si>
    <t>Đường Nà Cà -Kèm Nọi,  thôn Nà Bó</t>
  </si>
  <si>
    <t>Thôn Nà Bó, xã Liêm Thuỷ</t>
  </si>
  <si>
    <t>Công trình phụ trợ Trường Mầm non Liêm Thuỷ</t>
  </si>
  <si>
    <t>Sân khấu diện tích khoảng 200 m2</t>
  </si>
  <si>
    <t>Đường Nà Kéo thôn Lũng Danh</t>
  </si>
  <si>
    <t>Kè chống sạt lở Trường Mầm non, Liêm Thuỷ</t>
  </si>
  <si>
    <t>Chiều dài khoảng 500 m</t>
  </si>
  <si>
    <t>Nhà tập thể Trường Mần non xã Liêm Thủy</t>
  </si>
  <si>
    <t xml:space="preserve">Xây 6 phòng, diện tích 200m2 </t>
  </si>
  <si>
    <t>Đường Hin Lặp,  thôn Nà Pì</t>
  </si>
  <si>
    <t>Thôn Nà Pì</t>
  </si>
  <si>
    <t>Đường GTNT cấp B theo thiết kế mẫu tại Quyết định số 1355/QĐ-UBND ngày 08/8/2018 của UBND tỉnh, Quyết định 991/QĐ-UBND ngày 03/6/2020; chiều dài khoảng 1100 m</t>
  </si>
  <si>
    <t>Đường Nặm cắt thôn thôn khuổi Tấy B</t>
  </si>
  <si>
    <t>Thôn Khuổi Tấy B</t>
  </si>
  <si>
    <t>E.17</t>
  </si>
  <si>
    <t>Xã Kim Hỷ</t>
  </si>
  <si>
    <t>Nhà văn hóa thôn Nà Mỏ</t>
  </si>
  <si>
    <t>Thôn Nà Mỏ</t>
  </si>
  <si>
    <t>Nhà văn hóa thôn Nà Ản</t>
  </si>
  <si>
    <t>Thôn Nà Ản</t>
  </si>
  <si>
    <t>Nhà văn hóa thôn Bản Vin</t>
  </si>
  <si>
    <t>Thôn Bản Vin</t>
  </si>
  <si>
    <t>Thôn Khuổi Còi</t>
  </si>
  <si>
    <t>Nâng cấp đường trục thôn Lũng Cậu</t>
  </si>
  <si>
    <t>Thôn Lũng Cậu</t>
  </si>
  <si>
    <t>Đường GTNT cấp B theo thiết kế mẫu tại Quyết định số 1355/QĐ-UBND ngày 08/8/2018 của UBND tỉnh, Quyết định 991/QĐ-UBND ngày 03/6/2020; chiều dài khoảng 400 m</t>
  </si>
  <si>
    <t>Thôn Cốc Tém</t>
  </si>
  <si>
    <t>Nhà văn hóa thôn Kim Vân</t>
  </si>
  <si>
    <t>Thôn Kim Vân</t>
  </si>
  <si>
    <t>Nhà văn hóa thôn Bản vèn</t>
  </si>
  <si>
    <t>Thôn Bản Vèn</t>
  </si>
  <si>
    <t>Nhà văn hóa thôn Cốc Tém</t>
  </si>
  <si>
    <t>Nâng cấp đường trục thôn Bản Vin</t>
  </si>
  <si>
    <t>Mương thủy lợi Nà Piao-Càng Nộc</t>
  </si>
  <si>
    <t xml:space="preserve">Mặt cắt kênh 40x30; chiều dài khoảng 250 m; </t>
  </si>
  <si>
    <t>Mương thủy lợi Kéo Đin - Nặm Tốc</t>
  </si>
  <si>
    <t xml:space="preserve">Mặt cắt kênh 40x30; chiều dài khoảng 550 m; </t>
  </si>
  <si>
    <t>Nâng cấp hệ thống thủy lợi Khuổi Lịa</t>
  </si>
  <si>
    <t>03 đập Chiều dài L = 1,5m, cao 1,5 m</t>
  </si>
  <si>
    <t>Nâng cấp hệ thống thủy lợi Nà Tổng</t>
  </si>
  <si>
    <t xml:space="preserve">Đập, kênh bê tông mác 150, mặt cắt kênh 30x30; chiều dài khoảng 400 m; </t>
  </si>
  <si>
    <t>Nâng cấp đường nội đồng Bản Vèn - Cốc Keng</t>
  </si>
  <si>
    <t>Đường GTNT cấp B theo thiết kế mẫu tại Quyết định số 1355/QĐ-UBND ngày 08/8/2018 của UBND tỉnh, Quyết định 991/QĐ-UBND ngày 03/6/2020; chiều dài khoảng 900 m</t>
  </si>
  <si>
    <t>Kè khắc phục sạt lở đường Nà Lác</t>
  </si>
  <si>
    <t>Thôn Nà Lác</t>
  </si>
  <si>
    <t>Xây dựng kè chiều dài L= 70m; móng, tường kè bằng đá có chiều cao H= 1,5m</t>
  </si>
  <si>
    <t>Nâng cấp kênh mương Lũng Cà</t>
  </si>
  <si>
    <t xml:space="preserve">Kênh bê tông mác 150, mặt cắt kênh 30x30; chiều dài khoảng 200 m; </t>
  </si>
  <si>
    <t xml:space="preserve">Mặt cắt kênh 30x30; chiều dài khoảng 300 m; </t>
  </si>
  <si>
    <t>Mở mới tuyến đường đi Sán Hò</t>
  </si>
  <si>
    <t>Mở mới tuyến đường, chiều dài khoảng 1.200 m. Nền đường rộng: Bn = 4m, mặt đường rộng: Bmặt = 3,0 m. Lề đường rộng: Blề = 0,5 m x 2. Mặt đường đất tự nhiên</t>
  </si>
  <si>
    <t>Hệ thống thoát nước thải Bản Vèn</t>
  </si>
  <si>
    <t xml:space="preserve">Mặt cắt kênh 40x30; chiều dài khoảng 200 m; </t>
  </si>
  <si>
    <t>Nâng cấp kênh mương Nặm Bó - Cốc Đứa</t>
  </si>
  <si>
    <t xml:space="preserve">Kênh bê tông mác 150, mặt cắt kênh 30x30; chiều dài khoảng 500 m; </t>
  </si>
  <si>
    <t>Nhà văn hóa thôn Nà Lác</t>
  </si>
  <si>
    <t>Nhà văn hóa thôn Lũng Cậu</t>
  </si>
  <si>
    <t>Nâng cấp đường nội đồng Nà Mỏ - Mạ Vi</t>
  </si>
  <si>
    <t>Nâng cấp đường trục thôn Nà Mỏ - Lũng Mùm</t>
  </si>
  <si>
    <t>Xã Nghiên Loan</t>
  </si>
  <si>
    <t>Xã Công Bằng</t>
  </si>
  <si>
    <t>Xã Bằng Thành</t>
  </si>
  <si>
    <t>Xã Cổ Linh</t>
  </si>
  <si>
    <t>Xã Bộc Bố</t>
  </si>
  <si>
    <t>V</t>
  </si>
  <si>
    <t>VI</t>
  </si>
  <si>
    <t>VII</t>
  </si>
  <si>
    <t>VIII</t>
  </si>
  <si>
    <t xml:space="preserve"> DỰ KIẾN DANH MỤC CÁC DỰ ÁN/CÔNG TRÌNH THUỘC CHƯƠNG TRÌNH MỤC TIÊU QUỐC GIA PHÁT TRIỂN KINH TẾ XÃ HỘI VÙNG ĐỒNG BÀO DÂN TỘC THIỂU SỐ VÀ MIỀN NÚI GIAI ĐOẠN 2021-2025 VÀ NĂM 2022</t>
  </si>
  <si>
    <t>Dự kiến danh mục dự án đầu tư thực hiện Chương trình mục tiêu quốc gia giảm nghèo bền vững giai đoạn 2021-2025 và năm 2022</t>
  </si>
  <si>
    <t>STT</t>
  </si>
  <si>
    <t>Tên công trình/đơn vị</t>
  </si>
  <si>
    <t>Địa điểm</t>
  </si>
  <si>
    <t>Quy mô đầu tư dự kiến</t>
  </si>
  <si>
    <t>Tổng mức đầu tư dự kiến</t>
  </si>
  <si>
    <t>Dự kiến kế hoạch vốn giai đoạn 2021-2025</t>
  </si>
  <si>
    <t>Dự kiến kế hoạch vốn năm 2022</t>
  </si>
  <si>
    <t>Dự kiến thời gian thực hiện</t>
  </si>
  <si>
    <t>Tổng</t>
  </si>
  <si>
    <t>Dự án 1: Hỗ trợ đầu tư phát triển hạ tầng kinh tế - xã hội các huyện nghèo</t>
  </si>
  <si>
    <t>HUYỆN NGÂN SƠN</t>
  </si>
  <si>
    <t>Cải tạo nâng cấp đường Phiêng Lèng - Phiêng Sloỏng, xã Cốc Đán</t>
  </si>
  <si>
    <t>Cốc Đán</t>
  </si>
  <si>
    <t>Đường GTNT loại B, dài khoảng 4,5km</t>
  </si>
  <si>
    <t>Tràn liên hợp cống Nà Cuồn, xã Cốc Đán</t>
  </si>
  <si>
    <t>Tràn 02 nhịp cống, kích thước khoảng 4x2,5m, rộng 4m</t>
  </si>
  <si>
    <t>Cầu Bằng Lãng, Đường Bằng Lãng-Thuận Hưng, xã Thượng Quan</t>
  </si>
  <si>
    <t>Thượng Quan</t>
  </si>
  <si>
    <t xml:space="preserve">Cầu bản BTCT nhịp 9m rộng 4,5m; Đường GTNT loại A, dài 2,5km </t>
  </si>
  <si>
    <t>Cải tạo nâng cấp đường Nà Kịt-Nà Slánh thôn Nà Pò, xã Thượng Quan</t>
  </si>
  <si>
    <t>Đường GTNT loại B, dài khoảng 5 km</t>
  </si>
  <si>
    <t xml:space="preserve">Đầu tư cơ sở vật chất Trường tiểu học Thượng Quan </t>
  </si>
  <si>
    <t xml:space="preserve">Xây dựng 01 nhà 2 tầng gồm 06 phòng học bộ môn và phòng chức năng và một số hạng mục phụ trợ </t>
  </si>
  <si>
    <t xml:space="preserve">Đầu tư cơ sở vật chất Trường THCS Thượng Quan </t>
  </si>
  <si>
    <t xml:space="preserve">Xây dựng 02 nhà 2 tầng gồm 06 phòng học bộ môn và phòng chức năng và một số hạng mục phụ trợ </t>
  </si>
  <si>
    <t>Cải tạo, nâng cấp Đường 252B-Nà Coóc xã Thuần Mang</t>
  </si>
  <si>
    <t>Thuần Mang</t>
  </si>
  <si>
    <t>Đường GTNT loại B, dài khoảng 6,5 km</t>
  </si>
  <si>
    <t xml:space="preserve">Đầu tư cơ sở vật chất Trường PTDTBT THCS Lãng Ngâm </t>
  </si>
  <si>
    <t>Hiệp Lực</t>
  </si>
  <si>
    <t xml:space="preserve">Xây dựng 01 nhà 3 tầng gồm 07 phòng học bộ môn, phòng đa chức năng, thư viện và một số hạng mục phụ trợ </t>
  </si>
  <si>
    <t>Kênh mương Kềnh Cáng-Loòng Sang, thôn Pù Mò</t>
  </si>
  <si>
    <t>Bằng Vân</t>
  </si>
  <si>
    <t>Kênh BTXM,, tiết diện kênh bxh=(30x30), chiều dài dự kiến L=2000m</t>
  </si>
  <si>
    <t>Cải tạo nâng cấp đường liên xã từ Bản Hùa, Thị trấn Nà Phặc đi xã Mỹ Phương huyện Ba Bể</t>
  </si>
  <si>
    <t>Nà Phặc</t>
  </si>
  <si>
    <t>Đường GTNT loại A, dài khoảng 2,5 km</t>
  </si>
  <si>
    <t>Cầu vào khu dân cư thôn Cốc Pái, thị trấn Nà Phặc</t>
  </si>
  <si>
    <t>Cầu BTCT dự ứng lực nhịp khoảng 33m, rộng 4m</t>
  </si>
  <si>
    <t>Đầu tư cơ sở vật chất trạm y tế Cốc Đán</t>
  </si>
  <si>
    <t xml:space="preserve">Xây dựng cơ sở vật chất đạt chuẩn phục vụ khám chữa bệnh </t>
  </si>
  <si>
    <t>Đường Nà Mu - Khuổi Chắp, xã Thuần Mang (giai đoạn 3)</t>
  </si>
  <si>
    <t>Đường GTNT loại B, dài khoảng 2 km</t>
  </si>
  <si>
    <t>Cải tạo nâng cấp hệ thống giao thông nông thôn thị trấn Nà Phặc</t>
  </si>
  <si>
    <t>Cải tạo nâng cấp 06 tuyến đường, Đường GTNT loại B, dài khoảng 5,6 km</t>
  </si>
  <si>
    <t>Cầu và đường vào khu Hang Cạt, thôn Bản Hòa, xã Trung Hòa</t>
  </si>
  <si>
    <t>Trung Hòa</t>
  </si>
  <si>
    <t>Cầu BTCT nhịp 6m, rộng 4m, Đường GTNT loại B dài khoảng 1km</t>
  </si>
  <si>
    <t>Đập kênh Phai noãn thôn Hoàng Phài xã Cốc Đán</t>
  </si>
  <si>
    <t xml:space="preserve">Cốc Đán </t>
  </si>
  <si>
    <t>Đập xây đá hộc bọc BTCT rộng khoảng 15m, kênh dài 30x30 dài 900m</t>
  </si>
  <si>
    <t>Cải tạo nâng cấp đường từ Nà Đeng lên hội trường Tổ dân phố Mảy Van</t>
  </si>
  <si>
    <t>Đường GTNT loại B, dài khoảng 3,5 km</t>
  </si>
  <si>
    <t>Nâng cấp đường Nặm Slặc - nhà họp thôn Slam Coóc, xã Thượng Quan</t>
  </si>
  <si>
    <t>Đường GTNT loại B, dài khoảng 1,6 km</t>
  </si>
  <si>
    <t>Đầu tư trạm y tế Thượng Quan đạt chuẩn</t>
  </si>
  <si>
    <t>Cải tạo nâng cấp đường liên xã từ Bản Duồm, xã Thượng Ân đến Tân Ý II, xã Vân Tùng</t>
  </si>
  <si>
    <t>Thượng Ân, Vân Tùng</t>
  </si>
  <si>
    <t>Đường GTNT loại A, dài khoảng 6 km</t>
  </si>
  <si>
    <t>Đường Bằng Lãng Khuổi Khương xã Thượng Quan</t>
  </si>
  <si>
    <t>Đường liên xã từ thôn Phiêng Dượng, xã Đức Vân đến thôn Ma Nòn, xã Thượng Quan</t>
  </si>
  <si>
    <t>Đức Vân + Thượng Quan</t>
  </si>
  <si>
    <t>Đường GTNT loại B, dài khoảng 7 km</t>
  </si>
  <si>
    <t>Cải tạo nâng cấp đường liên xã từ Pù Piót, xã Thượng Quan đến xã Lương Thượng, huyện Nà Rì</t>
  </si>
  <si>
    <t>Đường GTNT loại B, dài khoảng 6 km</t>
  </si>
  <si>
    <t>Nâng cấp đường từ QL279 đến khu dân cư Khau Tán</t>
  </si>
  <si>
    <t>Đường liên xã từ thôn Nà Kéo, xã Thượng Quan đến thôn Thôm Tà, xã Thuần Mang</t>
  </si>
  <si>
    <t>Thượng Quan  Thuần Mang</t>
  </si>
  <si>
    <t xml:space="preserve">Đầu tư cơ sở vật chất Trường TH và THCS Thượng Ân </t>
  </si>
  <si>
    <t>Thượng Ân</t>
  </si>
  <si>
    <t xml:space="preserve">Xây dựng 01 nhà 2 tầng gồm 06 phòng học bộ môn và một số hạng mục phụ trợ </t>
  </si>
  <si>
    <t>Cầu Pù Đồn xã Cốc Đán</t>
  </si>
  <si>
    <t xml:space="preserve">Cầu BTCT nhịp 6m, rộng 4m </t>
  </si>
  <si>
    <t>Đường Bản Sù, Khuổi Slương xã Cốc Đán</t>
  </si>
  <si>
    <t>Đường GTNT loại B, dài khoảng 4 km</t>
  </si>
  <si>
    <t>Đường liên xã từ thôn Đông Chót, xã Bằng Vân đến thôn Nưa Phia, xã Đức Vân</t>
  </si>
  <si>
    <t>Bằng Vân, Đức Vân</t>
  </si>
  <si>
    <t>Đường GTNT loại B, dài khoảng 4,5 km</t>
  </si>
  <si>
    <t>Đầu tư cơ sở vật chất trường Mầm non Nà Khoang</t>
  </si>
  <si>
    <t>Xây dựng mới cơ sở vật chất đạt chuẩn</t>
  </si>
  <si>
    <t>HUYỆN PÁC NẶM</t>
  </si>
  <si>
    <t>Đường An Thắng - Bằng Thành, huyện Pác Nặm (giai đoạn 1)</t>
  </si>
  <si>
    <t xml:space="preserve"> 12km đường + cầu vượt sông Năng, góp phần hoàn thành tiêu chí giao thông thúc đẩy PTKT-XH của nhân dân 03 xã An Thắng, Bằng Thành và xã Mai Long, huyện Nguyên Bình, tỉnh Cao Bằng, với khoảng 320 hộ của 03 xã hưởng lợi;</t>
  </si>
  <si>
    <t xml:space="preserve">Giai đoạn 2022-2025 </t>
  </si>
  <si>
    <t>Trường Tiểu học Bằng Thành I, huyện PácNặm</t>
  </si>
  <si>
    <t>Nhà hiệu bộ, phòng lớp học, và các hạng mục khác</t>
  </si>
  <si>
    <t>Đường Liên thôn Khâu Bang - Nặm Sam (điểm trường Khâu Bang - Nặm Sam)</t>
  </si>
  <si>
    <t>thôn Khâu Bang - Nặm Sam</t>
  </si>
  <si>
    <t xml:space="preserve">Nâng cấp đổ bê tông mặt đường cấp B+ dãnh dọc 4,8km </t>
  </si>
  <si>
    <t>Đường Nà Hoi - Thôm Niêng, xã Bộc Bố, huyện Pác Nặm</t>
  </si>
  <si>
    <t xml:space="preserve">Mở mới 5 km </t>
  </si>
  <si>
    <t>Đường Nà Phai, xã Nghiên Loan - Ma Khao, xã Cao Tân, huyện Pác Nặm</t>
  </si>
  <si>
    <t>Xã Nghiên Loan, Cao Tân</t>
  </si>
  <si>
    <t xml:space="preserve">Mở mới 1,5 km </t>
  </si>
  <si>
    <t>Cải tạo, nâng cấp đường Bộc Bố - Nhạn Môn ( Đoạn trung tâm đô thị), huyện Pác Nặm</t>
  </si>
  <si>
    <t>xã Bộc Bố, Nhạn Môn</t>
  </si>
  <si>
    <t xml:space="preserve"> xây dựng đường giao thông và các hạng mục phụ trợ</t>
  </si>
  <si>
    <t>Đường Cốc Lải - Ta Đào, xã Cao Tân, huyện Pác Nặm</t>
  </si>
  <si>
    <t>xã Cao Tân</t>
  </si>
  <si>
    <t>Mở mới +Nâng cấp Khoảng 6,5km</t>
  </si>
  <si>
    <t>Trường Tiểu học Cổ Linh, huyện Pác Nặm</t>
  </si>
  <si>
    <t>Nhà hiệu bộ, nhà đa năng, phòng lớp học, và các hạng mục khác</t>
  </si>
  <si>
    <t>Nâng cấp đường Nà Cà-Cốc Nghè xã Cổ Linh</t>
  </si>
  <si>
    <t>xã Cổ Linh</t>
  </si>
  <si>
    <t>Nâng cấp, đổ bê tông nền đường chiều dài khoảng 10,3 Km. Mặt đường rộng 3 đến 3,5m.
Đường cấp B+ hệ thông thoát nước dọc</t>
  </si>
  <si>
    <t>Đường Nặm Sai - Khên Lên, xã Công Bằng, huyện Pác Nặm</t>
  </si>
  <si>
    <t>Mở mới Khoảng 5km</t>
  </si>
  <si>
    <t>Đường Công Bằng - Thượng Giáp</t>
  </si>
  <si>
    <t>xã Công Bằng</t>
  </si>
  <si>
    <t>Nâng cấp cứng hóa bê tông cấp B + rãnh thoát nước dọc Khoảng 4km</t>
  </si>
  <si>
    <t>Đường Hồng Mú xã Giáo Hiệu - Slam Vè xã Nhạn Môn</t>
  </si>
  <si>
    <t>xã Giáo Hiệu, Nhạn Môn</t>
  </si>
  <si>
    <t>Mở mới khoảng 4,5km</t>
  </si>
  <si>
    <t>Đường Khu tái định cư Hồng Mú (Đoạn 2)</t>
  </si>
  <si>
    <t>Mở mới khoảng 3km</t>
  </si>
  <si>
    <t>Trường PTDTBT THCS Nghiên Loan, huyện Pác Nặm</t>
  </si>
  <si>
    <t>xã Nghiên Loan</t>
  </si>
  <si>
    <t xml:space="preserve"> Năm 2022</t>
  </si>
  <si>
    <t>Đường Nặm Khiếu -Slam Vè xã Nhạn Môn</t>
  </si>
  <si>
    <t>xã Nhạn Môn</t>
  </si>
  <si>
    <t>Đổ bê tông mặt rộng 3,5m; dày 0,16m; Dài khoảng 7km</t>
  </si>
  <si>
    <t>Nhà văn hóa xã Xuân La, huyện Pác Nặm</t>
  </si>
  <si>
    <t>xã Xuân La</t>
  </si>
  <si>
    <t>Xây mới nhà Văn hóa xã, trang thiết bị và các nội dung khác nhằm hoàn thành tiêu chí Nông thôn mới</t>
  </si>
  <si>
    <t>Đường Cọn Luông-Mù Trị xã Xuân La</t>
  </si>
  <si>
    <t xml:space="preserve">Nâng cấp, mở mới 3 km +cầu vượt dòng 15m </t>
  </si>
  <si>
    <t xml:space="preserve">Dự án 4: Phát triển giáo dục nghề nghiệp, việc làm bền vững </t>
  </si>
  <si>
    <t>B1</t>
  </si>
  <si>
    <t>Tiểu dự án 1: Phát triển giáo dục nghề nghiệp vùng nghèo, vùng khó khăn</t>
  </si>
  <si>
    <t>Đầu tư xây dựng cơ sở vật chất và các công trình phụ trợ phục vụ đào tạo nhân lực chất lượng cao giai đoạn 2021 - 2025 và định hướng đến năm 2030 tại trường Cao đẳng Bắc Kạn</t>
  </si>
  <si>
    <t>Thành phố Bắc Kạn</t>
  </si>
  <si>
    <t>Đầu tư xây dựng các tòa nhà chức năng, sữa chữa nhà xưởng, phòng học ký túc xá…</t>
  </si>
  <si>
    <t>B2</t>
  </si>
  <si>
    <t>Tiểu dự án 3: Hỗ trợ việc làm bền vững</t>
  </si>
  <si>
    <t>Cơ sở hạ tầng, trang thiết bị công nghệ thông tin để hiện đại hóa hệ thống thông tin thị trường lao động, và xây dựng các cơ sở dữ liệu</t>
  </si>
  <si>
    <t>Cơ sở hạ tầng, trang thiết bị công nghệ thông tin</t>
  </si>
  <si>
    <t>Cơ sở hạ tầng, trang thiết bị công nghệ thông tin để hiện đại hóa hệ thống thông tin thị trường lao động, hình thành sàn giao dịch việc làm trực tuyến và xây dựng các cơ sở dữ liệu</t>
  </si>
  <si>
    <t>Hỗ trợ trang thiết bị công nghệ thông tin để hiện đại hóa thông tin thị trường lao động</t>
  </si>
  <si>
    <t xml:space="preserve">Mua sắm trang thiết bị công nghệ thông tin </t>
  </si>
  <si>
    <t xml:space="preserve">Mua trang thiết bị công nghệ thông tin </t>
  </si>
  <si>
    <t>Về cơ sở hạ tầng, trang thiết bị công nghệ thông tin để hiện đại hóa hệ thông thông tin thị trường lao động, hình thành sàn giao dịch việc làm trực tuyến và xây dựng các cơ sờ dữ liệu</t>
  </si>
  <si>
    <t>Mua sắm trang thiết bị công nghệ thông tin để hiện đại hóa hệ thống thông tin thị trường lao động</t>
  </si>
  <si>
    <t>Cấp tỉnh</t>
  </si>
  <si>
    <t>Mua sắm trang thiết bị, nâng cấp hệ thống kết nối trực tuyến</t>
  </si>
  <si>
    <t>Phụ lục số 02</t>
  </si>
  <si>
    <t>DỰ KIẾN DANH MỤC DỰ ÁN THỰC HIỆN CHƯƠNG TRÌNH MỤC TIÊU QUỐC GIA XÂY DỰNG NÔNG THÔN MỚI GIAI ĐOẠN 2021-2025</t>
  </si>
  <si>
    <t>Nội dung</t>
  </si>
  <si>
    <t>Kế hoạch trung hạn giai đoạn 2021-2025</t>
  </si>
  <si>
    <t>Trong đó</t>
  </si>
  <si>
    <t>Năm 2021</t>
  </si>
  <si>
    <t>Giai đoạn 2023-2025</t>
  </si>
  <si>
    <t>Nguồn NSTW</t>
  </si>
  <si>
    <t>Đối ứng ngân sách tỉnh</t>
  </si>
  <si>
    <t>Nguồn khác</t>
  </si>
  <si>
    <t>IX</t>
  </si>
  <si>
    <t>X</t>
  </si>
  <si>
    <t>XI</t>
  </si>
  <si>
    <t>XII</t>
  </si>
  <si>
    <t>XIII</t>
  </si>
  <si>
    <t>XIV</t>
  </si>
  <si>
    <t>HUYỆN NA RÌ</t>
  </si>
  <si>
    <t>Cường Lợi</t>
  </si>
  <si>
    <t>Đường trục thôn Pò Nim đến Thẳm En</t>
  </si>
  <si>
    <t>Sửa chữa khu thể thao xã Cường Lợi</t>
  </si>
  <si>
    <t>Đường liên thôn Pò Nim - Nà Đeng ( đoạn đầu tuyến)</t>
  </si>
  <si>
    <t>Đường liên thôn Nà Đeng - Pò Nim   ( đoạn 2)</t>
  </si>
  <si>
    <t>Đường trục thôn Nà Sla</t>
  </si>
  <si>
    <t>Xây tường rào trường TH &amp;THCS xã Cường Lợi</t>
  </si>
  <si>
    <t>Đường ngõ xóm thôn Nà Chè</t>
  </si>
  <si>
    <t>Đường trục thôn Nà Khưa</t>
  </si>
  <si>
    <t>Đường trục thôn Nà Khun</t>
  </si>
  <si>
    <t>Đường ngõ xóm Nà Nưa</t>
  </si>
  <si>
    <t>Côn Minh</t>
  </si>
  <si>
    <t>Đường trục thôn Nà Mòn</t>
  </si>
  <si>
    <t>Nâng cấp mương thủy lợi Phai Cằm</t>
  </si>
  <si>
    <t>Trần Phú</t>
  </si>
  <si>
    <t>Đường liên thôn Pá Phấy - Nà Noong</t>
  </si>
  <si>
    <t>Đường liên thôn Khau Moóc - Nà Mới đoạn 2</t>
  </si>
  <si>
    <t>Cư Lễ</t>
  </si>
  <si>
    <t>Sơn Thành</t>
  </si>
  <si>
    <t>Xuân Dương</t>
  </si>
  <si>
    <t>Đường trục thôn từ ĐT 256 đến Nà Vài thôn Thôm Chản</t>
  </si>
  <si>
    <t>Nâng cấp đường từ ĐT 256 kéo Hẩu (đoạn 3) thôn Cốc Càng</t>
  </si>
  <si>
    <t>Nhà Văn Hóa thôn Thôm Chản</t>
  </si>
  <si>
    <t>Liêm Thủy</t>
  </si>
  <si>
    <t>Đường liên thôn Nà Pì Nà Bó</t>
  </si>
  <si>
    <t>Đường từ 256 vào Cốc Mận thôn Nà Pì</t>
  </si>
  <si>
    <t>Đường vào nhà họp thôn Nà Pì</t>
  </si>
  <si>
    <t>Đường Khuổi Pẩu thôn Lũng Danh</t>
  </si>
  <si>
    <t xml:space="preserve"> Đường Bó ngần Thôn Nà Pì</t>
  </si>
  <si>
    <t>Văn Minh</t>
  </si>
  <si>
    <t>Nâng cấp đường Pác Lùng Deng, thôn Nà Deng</t>
  </si>
  <si>
    <t>Nâng cấp trục đường chính đến Nhà Văn hóa, thôn Pác Ban</t>
  </si>
  <si>
    <t>Nâng cấp mương Lăng Slườn, thôn Khuổi Liềng</t>
  </si>
  <si>
    <t>Nâng cấp mương Sọ xả, thôn Nà Ngòa</t>
  </si>
  <si>
    <t>Nâng cấp mương Nà Piẹt, thôn Nà Piẹt</t>
  </si>
  <si>
    <t xml:space="preserve">Nâng cấp mương Thôm Ngân , thôn Khuổi Liềng </t>
  </si>
  <si>
    <t>Văn Lang</t>
  </si>
  <si>
    <t>Nâng cấp mương Pùng Lúm - Nà Sưa, thôn Khau Lạ, xã Văn Lang</t>
  </si>
  <si>
    <t>Nâng cấp mương nước thải sinh hoạt Nà Thôm thôn Chợ Mới, xã Văn Lang</t>
  </si>
  <si>
    <t>Nâng cấp mương thủy lợi Nà Nghiềng - Nà Kiềng thôn Nà Diệc, xã Văn Lang</t>
  </si>
  <si>
    <t>Quang Phong</t>
  </si>
  <si>
    <t>Nhà văn hóa thôn Khuổi Căng</t>
  </si>
  <si>
    <t>Đường bê tông trục thôn Nà Vả đoạn từ Thôm Luổm - Phiêng Vả</t>
  </si>
  <si>
    <t>Đổng Xá</t>
  </si>
  <si>
    <t>Đường liên thôn Nà Thác - Lũng Tao</t>
  </si>
  <si>
    <t>Đường liên thôn Khuổi Nà – Khuổi Cáy</t>
  </si>
  <si>
    <t>Dương Sơn</t>
  </si>
  <si>
    <t>Đường bê tông liên thôn Rầy Ỏi - Khuổi Kheo (đoạn Nà Ngăm, Nà Phai- Nà Nen)</t>
  </si>
  <si>
    <t>Kim Hỷ</t>
  </si>
  <si>
    <t>Đường liên thôn Nà Lác - Khuổi Còi (Km 7 + 700 đến Km 8 + 500)</t>
  </si>
  <si>
    <t>Đường liên thôn Nà Ản - Cốc Tém (Km2  đến Km 2 + 800)</t>
  </si>
  <si>
    <t>XV</t>
  </si>
  <si>
    <t>Lương Thương</t>
  </si>
  <si>
    <t>Bê tông tuyến đường từ Quốc lộ 279 đến Khuổi Kích thôn Khuổi Nộc</t>
  </si>
  <si>
    <t>Nối tiếp tuyến mương tiêu khu Nà cạm thôn Pàn Xả ra sông Bắc Giang</t>
  </si>
  <si>
    <t>XVI</t>
  </si>
  <si>
    <t>Văn Vũ</t>
  </si>
  <si>
    <t xml:space="preserve">Đường bê tông Pò Làng - Cạm Sâu, thôn Pò Cạu, xã Văn Vũ, huyện Na Rì </t>
  </si>
  <si>
    <t xml:space="preserve">Đường bê tông Pò Khon - Khuổi Sỏm, thôn Pò Rản, xã Văn Vũ, huyện Na Rì </t>
  </si>
  <si>
    <t>Xây dựng sân thể thao xã</t>
  </si>
  <si>
    <t>Tổng mức đầu tư</t>
  </si>
  <si>
    <t>Cụ thể:</t>
  </si>
  <si>
    <t>Đơn vị: Triệu đồng</t>
  </si>
  <si>
    <t>ĐỊA PHƯƠNG</t>
  </si>
  <si>
    <t>Tổng kế hoạch vốn ĐTPT NSNN giai đoạn 2021-2025</t>
  </si>
  <si>
    <t>Tổng kế hoạch vốn ĐTPT NSTW hỗ trợ giai đoạn 2021-2025</t>
  </si>
  <si>
    <r>
      <t xml:space="preserve">Phần đối ứng ngân sách địa phương cấp tỉnh </t>
    </r>
    <r>
      <rPr>
        <b/>
        <i/>
        <sz val="14"/>
        <color theme="1"/>
        <rFont val="Times New Roman"/>
        <family val="1"/>
      </rPr>
      <t>(tối thiểu 5% tổng vốn ngân sách trung ương)</t>
    </r>
  </si>
  <si>
    <t xml:space="preserve">Tổng </t>
  </si>
  <si>
    <t>Đối ứng giai đoạn 2023-2025</t>
  </si>
  <si>
    <t>Năm 2021 
Chuyển sang thực hiện năm 2022)</t>
  </si>
  <si>
    <t>Đối ứng năm 2021 (chuyển sang thực hiện năm 2022)</t>
  </si>
  <si>
    <t>Đối ứng năm 2022</t>
  </si>
  <si>
    <t>Đối tượng xã</t>
  </si>
  <si>
    <t>Xã Liêm Thuỷ</t>
  </si>
  <si>
    <t>Trong đó:</t>
  </si>
  <si>
    <t>Phụ lục 4</t>
  </si>
  <si>
    <t xml:space="preserve">PHƯƠNG ÁN PHÂN BỔ VỐN ĐẦU TƯ THỰC HIỆN CHƯƠNG TRÌNH MỤC TIÊU QUỐC GIA XÂY DỰNG NÔNG THÔN MỚI GIAI ĐOẠN 2021-2025 </t>
  </si>
  <si>
    <t>Nhà văn hóa thôn Khuổi Can</t>
  </si>
  <si>
    <t>Thôn Khuổi Can</t>
  </si>
  <si>
    <t>Xây dựng Nhà văn hóa thôn 50 chỗ ngồi theo thiết kế mẫu tại Quyết định số 1355/QĐ-UBND ngày 08/8/2018</t>
  </si>
  <si>
    <t>Bê tông đường trục thôn Na Tha đoạn từ suối Nà Phúc đến Mỏ Nọi</t>
  </si>
  <si>
    <t>Đường GTNT cấp B theo thiết kế mẫu tại Quyết định số 1355/QĐ-UBND ngày 08/8/2018 của UBND tỉnh, Quyết định 991/QĐ-UBND ngày 03/6/2020; chiều dài khoảng 1000m</t>
  </si>
  <si>
    <t>Đường GTNT cấp D theo thiết kế mẫu tại Quyết định số 1355/QĐ-UBND ngày 08/8/2018 của UBND tỉnh, Quyết định 991/QĐ-UBND ngày 03/6/2020; chiều dài khoảng 500 m</t>
  </si>
  <si>
    <t>Xây phòng đa năng trường tiểu học Trần Phú</t>
  </si>
  <si>
    <t>Trường tiểu học Trần Phú</t>
  </si>
  <si>
    <t>Thiết kế xây mới phòng học với tổng diện tích khoảng 100m2</t>
  </si>
  <si>
    <t>Xây dựng đập kênh Cốc Lồm, thôn Nà Vèn</t>
  </si>
  <si>
    <t>Thôn Nà Vèn</t>
  </si>
  <si>
    <t>Xây mới đập, đổ kênh bê tông xi măng dài 600m</t>
  </si>
  <si>
    <t>Công trình đường Cốc Kham - Phiêng Luông</t>
  </si>
  <si>
    <t xml:space="preserve">Xây kênh thoát nước chiều dài khoảng 1000 m; </t>
  </si>
  <si>
    <t>Nâng cấp hệ thống thủy lợi Cốc Đông, Nà Dụ</t>
  </si>
  <si>
    <t>Thôn Thôm Khinh</t>
  </si>
  <si>
    <t>Nhà văn hóa thôn Khuổi Phầy</t>
  </si>
  <si>
    <t>Mương Khuổi Phầy</t>
  </si>
  <si>
    <t>Xây dựng Nhà văn hóa thôn 50 chỗ ngồi</t>
  </si>
  <si>
    <t xml:space="preserve">Xây dựng Nhà văn hóa thôn 50 chỗ ngồi </t>
  </si>
  <si>
    <t>Xây dựng mương Phai Hin - Khuổi Bốc</t>
  </si>
  <si>
    <t>Nà Dài</t>
  </si>
  <si>
    <t>Mương đất</t>
  </si>
  <si>
    <t>Đường đất</t>
  </si>
  <si>
    <t>Nâng cấp đường liên thôn Nà Lác - Khuổi Phầy (Km 8 + 500 đến Km 8 + 600)</t>
  </si>
  <si>
    <t>Nâng cấp đường liên thôn Nà Ản - Cốc Tém (Km 2+800 đến Km2+900)</t>
  </si>
  <si>
    <t>Nâng cấp đường liên thôn Nà Lác - Khuổi Phầy (Km 9+100 đến Km9+500)</t>
  </si>
  <si>
    <t>Nâng cấp đường liên thôn Nà Ản - Cốc Tém (Km 2+900 đến Km3+300)</t>
  </si>
  <si>
    <t>Nâng cấp đường liên thôn Nà Lác - Khuổi Phầy (Km8+700 đến Km9+100)</t>
  </si>
  <si>
    <t>Nâng cấp đường liên thôn Nà Ản - Cốc Tém (Km 3+300 đến Km3+700)</t>
  </si>
  <si>
    <t>Nâng cấp đường liên thôn Nà Lác - Khuổi Phầy (Km 6 + 500 đến Km7+00)</t>
  </si>
  <si>
    <t>Nâng cấp đường liên thôn Nà Ản - Cốc Tém (Km 3+700 đến Km4+300)</t>
  </si>
  <si>
    <t>Hệ thống mương thuỷ lợi khu mỏ thôn Nà Làng</t>
  </si>
  <si>
    <t>Kênh bê tông mác 150, mặt cắt kênh 30x30; chiều dài khoảng 750m</t>
  </si>
  <si>
    <t>Cải tạo nâng cấp mương thuỷ lợi Pàn Cà</t>
  </si>
  <si>
    <t>Kênh bê tông mác 150, mặt cắt kênh 30x30; chiều dài khoảng 3000 m</t>
  </si>
  <si>
    <t>Xây rãnh thoát nước đường liên thôn Khau Moóc - Phiêng Pụt</t>
  </si>
  <si>
    <t>Nâng cấp mương Cốc Đông, thôn Nà Dụ</t>
  </si>
  <si>
    <t>,</t>
  </si>
  <si>
    <t>Dự án Đường Bê Tông Phiêng cuôn - Phiêng Hẩu.</t>
  </si>
  <si>
    <t xml:space="preserve">Đường bê tông đường trục thôn Nà Dài </t>
  </si>
  <si>
    <t xml:space="preserve">Đổ bê tông đường ngõ xóm Pò Pái  </t>
  </si>
  <si>
    <t xml:space="preserve">Đổ bê tông đường trục thôn Khau Pần </t>
  </si>
  <si>
    <t>Đổ bê tông đường trục thôn Cạm
Mjầu – Pác Ảng – Cốc Cam</t>
  </si>
  <si>
    <t xml:space="preserve">Đổ bê tông đường ngõ xóm thôn Pò
Rì </t>
  </si>
  <si>
    <t>Đổ bê tông đường trục thôn Khuổi
Quân</t>
  </si>
  <si>
    <t>IV.2</t>
  </si>
  <si>
    <t>Nội dung số 02: Đầu tư xây dựng, cải tạo nâng cấp mạng lưới chợ vùng đồng bào dân tộc thiểu số và miền núi</t>
  </si>
  <si>
    <t>Đầu tư xây dựng cải tạo, nâng cấp mạng lưới chợ vùng đồng bào dân tộc thiểu số và miền núi năm 2022, chương trình MTQG phát triển KT – XH vùng đồng bào DTTS&amp;MN năm 2022</t>
  </si>
  <si>
    <t>Đầu tư xây dựng cải tạo, nâng cấp mạng lưới chợ vùng đồng bào dân tộc thiểu số và miền núi chương trình MTQG phát triển KT – XH vùng đồng bào DTTS&amp;MN năm 2023-2025</t>
  </si>
  <si>
    <t>Đầu tư xây dựng cải tạo, nâng cấp mạng lưới chợ vùng đồng bào dân tộc thiểu số và miền núi chương trình MTQG phát triển KT – XH vùng đồng bào DTTS&amp;MN năm 2024-2025</t>
  </si>
  <si>
    <t>IV.3</t>
  </si>
  <si>
    <t>Nội dung 3: Đầu tư xây dựng, nâng cấp, cải tạo, sửa chữa, bảo dưỡng, mua sắm trang thiết bị cho các trạm y tế xã bảo đảm đạt chuẩn</t>
  </si>
  <si>
    <t>Dự án đầu tư xây dựng, nâng cấp, cải tạo, sửa chữa, bảo dưỡng, mua sắm trang thiết bị cho các trạm y tế xã đảm bảo đạt chuẩn (trạm y tế xã Côn Minh, Văn Lang, Kim Hỷ, Sỹ Bình)</t>
  </si>
  <si>
    <t>IV.4</t>
  </si>
  <si>
    <t>Nội dung 4: Đầu tư cứng hóa đường đến trung tâm xã chưa được cứng hóa; ưu tiên đầu tư đối với các xã chưa có đường từ trung tâm huyện đến trung tâm xã, đường liên xã (từ trung tâm xã đến trung tâm xã)</t>
  </si>
  <si>
    <t xml:space="preserve"> Chợ Mới</t>
  </si>
  <si>
    <t>Đường Nông Hạ - Khe Thỉ: ĐH.75</t>
  </si>
  <si>
    <t>Xã Nông Hạ</t>
  </si>
  <si>
    <t>Dự kiến chiều dài 8km</t>
  </si>
  <si>
    <t>2022-2024</t>
  </si>
  <si>
    <t>Đường Yên Cư - Cao Kỳ</t>
  </si>
  <si>
    <t>Xã Yên Cư, xã Cao Kỳ</t>
  </si>
  <si>
    <t>Dự kiến chiều dài 14,4 km</t>
  </si>
  <si>
    <t>Bạch Thông</t>
  </si>
  <si>
    <t>Đường liên xã Cao Sơn - Mỹ Thanh, huyện Bạch Thông</t>
  </si>
  <si>
    <t>Thôn Thôm Phụ, xã Cao Sơn - thôn Bản Châng, xã Mỹ Thanh</t>
  </si>
  <si>
    <t>Dự kiến chiều dài 13,5 km</t>
  </si>
  <si>
    <t>Đường liên xã Quang thuận huyện Bạch Thông - xã Mai Lạp Chợ Mới</t>
  </si>
  <si>
    <t xml:space="preserve">xã Quang Thuận - xã Mai Lạp </t>
  </si>
  <si>
    <t>Dự kiến chiều dài 8,4 km</t>
  </si>
  <si>
    <t>Chợ Đồn</t>
  </si>
  <si>
    <t>Đường Bình Trung-Trung Minh (Tuyên Quang)</t>
  </si>
  <si>
    <t>Xã Bình Trung và giáp ranh xã Trung Minh (Tuyên Quang)</t>
  </si>
  <si>
    <t>Dự kiến chiều dài 6 km</t>
  </si>
  <si>
    <t>Na Rỳ</t>
  </si>
  <si>
    <t>Cải tạo, nâng cấp đường Quang Phong - Đổng Xá</t>
  </si>
  <si>
    <t>xã Quang Phong, xã Đổng Xá</t>
  </si>
  <si>
    <t>Dự kiến chiều dài 14 km</t>
  </si>
  <si>
    <t>Ngân Sơn</t>
  </si>
  <si>
    <t xml:space="preserve">Đường từ trung tâm xã Cốc Đán, huyện Ngân Sơn đến xã Thành Công, huyện Nguyên Bình  </t>
  </si>
  <si>
    <t xml:space="preserve">Xã Cốc Đán  </t>
  </si>
  <si>
    <t>Dự kiến chiều dài 4,5 km</t>
  </si>
  <si>
    <t>Ba Bể</t>
  </si>
  <si>
    <t>Cải tạo, nâng cấp đường nối QL 279 đến trung tâm xã Phúc Lộc</t>
  </si>
  <si>
    <t>Xã Phúc Lộc</t>
  </si>
  <si>
    <t>Dự kiến chiều dài 3,1km</t>
  </si>
  <si>
    <t>Pác Nặm</t>
  </si>
  <si>
    <t>Đường Nghiên Loan - Cổ Linh</t>
  </si>
  <si>
    <t>Xã Cổ Linh - Nghiên Loan</t>
  </si>
  <si>
    <t>Dự kiến chiều dài 4,5km</t>
  </si>
  <si>
    <t>DỰ ÁN 5: PHÁT TRIỂN GIÁO DỤC ĐÀO TẠO NÂNG CAO CHẤT LƯỢNG NGUỒN NHÂN LỰC</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</si>
  <si>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2022</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</si>
  <si>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2023-2025</t>
  </si>
  <si>
    <t>DỰ ÁN 6: BẢO TỒN, PHÁT HUY GIÁ TRỊ VĂN HÓA TRUYỀN THỐNG TỐT ĐẸP CỦA CÁC DÂN TỘC THIỂU SỐ GẮN VỚI PHÁT TRIỂN DU LỊCH</t>
  </si>
  <si>
    <t>Hỗ trợ đầu tư xây dựng điểm đến du lịch tiêu biểu vùng đồng bào dân tộc thiểu số và miền núi</t>
  </si>
  <si>
    <t>Hỗ trợ đầu tư bảo tồn làng, bản, văn hóa truyền thống tiêu biểu của các dân tộc thiểu số</t>
  </si>
  <si>
    <t>Hỗ trợ tu bổ, tôn tạo di tích quốc gia đặc biệt, di tích quốc gia có giá trị tiêu biểu của các dân tộc thiểu số:</t>
  </si>
  <si>
    <t>-</t>
  </si>
  <si>
    <t xml:space="preserve">Đầu tư tu bổ, tôn </t>
  </si>
  <si>
    <t>Hỗ trợ đầu tư xây dựng thiết chế văn hóa, thể thao tại các thôn đồng bào dân tộc thiểu số và miền núi</t>
  </si>
  <si>
    <t>DỰ ÁN 7: CHĂM SÓC SỨC KHỎE NHÂN DÂN, NÂNG CAO THỂ TRẠNG, TẦM VÓC NGƯỜI DÂN TỘC THIỂU SỐ; PHÒNG CHỐNG SUY DINH DƯỠNG TRẺ EM</t>
  </si>
  <si>
    <t>Công trình: Trung tâm y tế huyện Ngân Sơn</t>
  </si>
  <si>
    <t>Dự án ứng dụng công nghệ thông tin hỗ trợ phát triển kinh tế xã hội và đảm bảo an ninh trật tự vùng đồng bào dân tộc thiểu số và miền núi huyện Chợ Mới</t>
  </si>
  <si>
    <t>Dự án ứng dụng công nghệ thông tin hỗ trợ phát triển kinh tế xã hội và đảm bảo an ninh trật tự vùng đồng bào dân tộc thiểu số và miền núi huyện Chợ Đồn</t>
  </si>
  <si>
    <t>Dự án ứng dụng công nghệ thông tin hỗ trợ phát triển kinh tế xã hội và đảm bảo an ninh trật tự vùng đồng bào dân tộc thiểu số và miền núi huyện Ngân Sơn</t>
  </si>
  <si>
    <t>Dự án ứng dụng công nghệ thông tin hỗ trợ phát triển kinh tế xã hội và đảm bảo an ninh trật tự vùng đồng bào dân tộc thiểu số và miền núi huyện Bạch Thông</t>
  </si>
  <si>
    <t>Dự án ứng dụng công nghệ thông tin hỗ trợ phát triển kinh tế xã hội và đảm bảo an ninh trật tự vùng đồng bào dân tộc thiểu số và miền núi huyện Na Rì</t>
  </si>
  <si>
    <t>Dự án ứng dụng công nghệ thông tin hỗ trợ phát triển kinh tế xã hội và đảm bảo an ninh trật tự vùng đồng bào dân tộc thiểu số và miền núi huyện Pác Nặm</t>
  </si>
  <si>
    <t>Dự án ứng dụng công nghệ thông tin hỗ trợ phát triển kinh tế xã hội và đảm bảo an ninh trật tự vùng đồng bào dân tộc thiểu số và miền núi huyện Ba Bể</t>
  </si>
  <si>
    <t>Dự án ứng dụng công nghệ thông tin hỗ trợ phát triển kinh tế xã hội và đảm bảo an ninh trật tự vùng đồng bào dân tộc thiểu số và miền núi tỉnh Bắc Kạn</t>
  </si>
  <si>
    <t>Nhà lớp học âm nhạc, thư viện, phòng thiết bị trường TH&amp;THCS Lương Thượng</t>
  </si>
  <si>
    <t>Xây dựng phòng học theo Quyết định số 1499/QĐ-UBND ngày 25/9/2017; Quyết định số 991/QĐ-UBND ngày 03/6/2020 của UBND tỉnh Bắc Kạn</t>
  </si>
  <si>
    <t>Cải tạo nâng cấp mương thuỷ lợi Vằng Đeng</t>
  </si>
  <si>
    <t>Kênh bê tông mác 150, mặt cắt kênh 30x30; chiều dài khoảng 3000m</t>
  </si>
  <si>
    <t>Nâng cấp hệ thống thuỷ lợi Bó Giểng - Nà Lọ, thôn Vằng Khít</t>
  </si>
  <si>
    <t>Xây mới tuyến mương dài khoảng1,2km, kích thước 35 x 35cm</t>
  </si>
  <si>
    <t xml:space="preserve">Đổ bê tông đường QL3B -Pá Deng - Kéo Pựt </t>
  </si>
  <si>
    <t>Khau Pần</t>
  </si>
  <si>
    <t xml:space="preserve">Mở mới đường sản xuất thôn Khau Pần </t>
  </si>
  <si>
    <t>(Kèm theo Báo cáo số      /BC-UBND huyện Na Rì ngày 28/7/2022)</t>
  </si>
  <si>
    <t>Kế hoạch vốn đã phân bổ</t>
  </si>
  <si>
    <t>Kế hoạch vốn năm 2023</t>
  </si>
  <si>
    <t>Năm 2022-2023</t>
  </si>
  <si>
    <t xml:space="preserve"> DỰ KIẾN DANH MỤC CÁC DỰ ÁN/CÔNG TRÌNH THUỘC CHƯƠNG TRÌNH MỤC TIÊU QUỐC GIA PHÁT TRIỂN KINH TẾ XÃ HỘI VÙNG ĐỒNG BÀO DÂN TỘC THIỂU SỐ VÀ MIỀN NÚI GIAI ĐOẠN 2021-2025 VÀ NĂM 2023</t>
  </si>
  <si>
    <t>Chủ đầu tư</t>
  </si>
  <si>
    <t>UBND TT.Yến Lạc</t>
  </si>
  <si>
    <t>UBND xã Quang Phong</t>
  </si>
  <si>
    <t>UBND xã Côn Minh</t>
  </si>
  <si>
    <t>UBND xã Lương Thượng</t>
  </si>
  <si>
    <t>UBND xã Dương Sơn</t>
  </si>
  <si>
    <t>UBND xã Trần Phú</t>
  </si>
  <si>
    <t>UBND xã Cường Lợi</t>
  </si>
  <si>
    <t>UBND xã Cư Lễ</t>
  </si>
  <si>
    <t>UBND xã Đổng Xá</t>
  </si>
  <si>
    <t>Ban QLDA ĐTXD huyện</t>
  </si>
  <si>
    <t>Đường bê tông Thôm Khon - Khuổi Tàn (giai đoạn 1)</t>
  </si>
  <si>
    <t>UBND xã Văn Vũ</t>
  </si>
  <si>
    <t>UBND xã Văn Minh</t>
  </si>
  <si>
    <t>UBND xã Kim Lư</t>
  </si>
  <si>
    <t>UBND xã Xuân Dương</t>
  </si>
  <si>
    <t>UBND xã Liêm Thủy</t>
  </si>
  <si>
    <t>UBND xã Kim Hỷ</t>
  </si>
  <si>
    <t>XVII</t>
  </si>
  <si>
    <t>Nâng cấp hệ thống thủy lợi Hát Pái, thôn Nà Dụ</t>
  </si>
  <si>
    <t>(Kèm theo Quyết định số 2975/QĐ-UBND ngày 17/8/2022 của UBND huyện Na Rì)</t>
  </si>
  <si>
    <t xml:space="preserve"> DANH MỤC CÁC DỰ ÁN ĐẦU TƯ VÀ GIAO NHIỆM VỤ CHỦ ĐẦU TƯ THỰC HIỆN TIỂU DỰ ÁN 1-DỰ ÁN 4, CHƯƠNG TRÌNH MỤC TIÊU QUỐC GIA PHÁT TRIỂN KINH TẾ XÃ HỘI VÙNG ĐỒNG BÀO DÂN TỘC THIỂU SỐ VÀ MIỀN NÚI NĂM 2022, HUYỆN NA RÌ</t>
  </si>
  <si>
    <t>Thôn Nặm Dắm, xã Cường Lợi</t>
  </si>
  <si>
    <t>Thôn Nà Tát, xã Cường Lợi</t>
  </si>
  <si>
    <t>Thôn Nà Sang, xã Cường Lợi</t>
  </si>
  <si>
    <t>Thôn Khuổi Phầy, xã Kim Hỷ</t>
  </si>
  <si>
    <t>Thôn Lũng Cậu, xã Kim Hỷ</t>
  </si>
  <si>
    <t>Thôn Cốc Tém, xã Kim Hỷ</t>
  </si>
  <si>
    <t>Thôn Bản Vin, xã Kim Hỷ</t>
  </si>
  <si>
    <t>Thôn Nà Ản, xã Kim Hỷ</t>
  </si>
  <si>
    <t>Thôn Nà Mỏ, xã Kim Hỷ</t>
  </si>
  <si>
    <t>Thôn Lũng Danh, xã Liêm Thủy</t>
  </si>
  <si>
    <t>Thôn Nà Chang, xã Xuân Dương</t>
  </si>
  <si>
    <t>Thôn Khum Mằn, xã Kim Lư</t>
  </si>
  <si>
    <t>Thôn Pò Chẹt, xã Sơn Thành</t>
  </si>
  <si>
    <t>Thôn Nà Khon, xã Sơn Thành</t>
  </si>
  <si>
    <t>Thôn Nà Pàn, xã Sơn Thành</t>
  </si>
  <si>
    <t> Thôn Khuổi Tục, xã Văn Minh</t>
  </si>
  <si>
    <t> Thôn Nà Deng, xã Văn Minh</t>
  </si>
  <si>
    <t> Thôn Nà Mực, xã Văn Minh</t>
  </si>
  <si>
    <t>Thôn Nà Piẹt, xã Văn Minh</t>
  </si>
  <si>
    <t>Thôn Thôm Khinh, xã Văn Vũ</t>
  </si>
  <si>
    <t>Thôn Thôm Khon, xã Văn Vũ</t>
  </si>
  <si>
    <t>Thôn Lũng Tao, xã Đổng Xá</t>
  </si>
  <si>
    <t>Thôn Khuổi Nạc, xã Đổng Xá</t>
  </si>
  <si>
    <t>Thôn Khau Pần, xã Cư Lễ</t>
  </si>
  <si>
    <t>Thôn Nà Dài, xã Cư Lễ</t>
  </si>
  <si>
    <t>Thôn Nà Nen, xã Dương Sơn</t>
  </si>
  <si>
    <t>Thôn Nà Giàng, xã Dương Sơn</t>
  </si>
  <si>
    <t>Thôn Bản Giang, xã Lương Thượng</t>
  </si>
  <si>
    <t>Thôn Lùng Pảng, xã Côn Minh</t>
  </si>
  <si>
    <t>Thôn Lùng Vạng, xã Côn Minh</t>
  </si>
  <si>
    <t>Thôn Nà Ngoàn, xã Côn Minh</t>
  </si>
  <si>
    <t>Thôn Lùng Vai, xã Côn Minh</t>
  </si>
  <si>
    <t>Thôn Quan Làng, xã Quang Phong</t>
  </si>
  <si>
    <t>Thôn Nà Buốc, xã Quang Phong</t>
  </si>
  <si>
    <t>Thôn Nà Vả, xã Quang Phong</t>
  </si>
  <si>
    <t>Quyết định phê duyệt đầu tư</t>
  </si>
  <si>
    <t>Phân bổ kế hoạch vốn năm 2022</t>
  </si>
  <si>
    <t>Số 117/QĐ-UBND ngày 26/8/2022 của UBND xã Dương Sơn</t>
  </si>
  <si>
    <t>Số 118/QĐ-UBND ngày 26/8/2022 của UBND xã Dương Sơn</t>
  </si>
  <si>
    <t>Số 407/QĐ-UBND ngày 26/8/2022 của UBND xã Trần Phú</t>
  </si>
  <si>
    <t>Số 403/QĐ-UBND ngày 26/8/2022 của UBND xã Trần Phú</t>
  </si>
  <si>
    <t>Số 404/QĐ-UBND ngày 26/8/2022 của UBND xã Trần Phú</t>
  </si>
  <si>
    <t>Số 164/QĐ-UBND ngày 30/8/2022 của UBND xã Đổng Xá</t>
  </si>
  <si>
    <t>Số 165/QĐ-UBND ngày 30/8/2022 của UBND xã Đổng Xá</t>
  </si>
  <si>
    <t>Số 163/QĐ-UBND ngày 30/8/2022 của UBND xã Đổng Xá</t>
  </si>
  <si>
    <t>II.1</t>
  </si>
  <si>
    <t>Đường Nặm cắt thôn khuổi Tấy B</t>
  </si>
  <si>
    <t>A.1</t>
  </si>
  <si>
    <t>A.2</t>
  </si>
  <si>
    <t>A.3</t>
  </si>
  <si>
    <t>A.4</t>
  </si>
  <si>
    <t>A.5</t>
  </si>
  <si>
    <t>A.6</t>
  </si>
  <si>
    <t>A.7</t>
  </si>
  <si>
    <t>A.8</t>
  </si>
  <si>
    <t>A.9</t>
  </si>
  <si>
    <t>A.10</t>
  </si>
  <si>
    <t>A.11</t>
  </si>
  <si>
    <t>A.12</t>
  </si>
  <si>
    <t>A.13</t>
  </si>
  <si>
    <t>A.14</t>
  </si>
  <si>
    <t>A.15</t>
  </si>
  <si>
    <t>A.16</t>
  </si>
  <si>
    <t>A.17</t>
  </si>
  <si>
    <t>III.1</t>
  </si>
  <si>
    <t>Tiểu dự án 2: ứng dụng công nghệ thông tin hỗ trợ phát triển kinh tế - xã hội và đảm bảo an ninh trật tự vùng đồng bào dân tộc thiểu số và miền núi huyện Na Rì</t>
  </si>
  <si>
    <t>DỰ ÁN 10 - TRUYỀN THÔNG, TUYÊN TRUYỀN, VẬN ĐỘNG TRONG VÙNG ĐỒNG BÀO DÂN TỘC THIỂU SỐ, KIỂM TRA GIÁM SÁT ĐÁNH GIÁ VIỆC TỔ CHỨC THỰC HIỆN CHƯƠNG TRÌNH</t>
  </si>
  <si>
    <t>Nội dung số 01: Đầu tư cơ sở hạ tầng thiết yếu cùng đồng bào dân tộc thiểu số và miền núi; ưu tiên đối với các xã ĐBKK, thôn ĐBKK (Danh mục dự kiến)</t>
  </si>
  <si>
    <t xml:space="preserve"> DỰ KIẾN DANH MỤC DỰ ÁN THỰC HIỆN CHƯƠNG TRÌNH MỤC TIÊU QUỐC GIA PHÁT TRIỂN KINH TẾ XÃ HỘI VÙNG ĐỒNG BÀO DÂN TỘC THIỂU SỐ VÀ MIỀN NÚI GIAI ĐOẠN 2021-2025</t>
  </si>
  <si>
    <t>Thôn Nà Rầy, xã Quang Phong</t>
  </si>
  <si>
    <t>Thôn Nà Tha, xã Quang Phong</t>
  </si>
  <si>
    <t>Thôn Khuổi Căng, xã Quang Phong</t>
  </si>
  <si>
    <t>Thôn Khuổi Can, xã Quang Phong</t>
  </si>
  <si>
    <t>Thôn Áng Hin, xã Côn Minh</t>
  </si>
  <si>
    <t>Thôn Nà Làng, xã Lương Thượng</t>
  </si>
  <si>
    <t>Thôn Vằng Khít, xã Lương Thượng</t>
  </si>
  <si>
    <t>Thôn Khuổi Chang, xã Dương Sơn</t>
  </si>
  <si>
    <t>Thôn Rầy Ỏi, xã Dương Sơn</t>
  </si>
  <si>
    <t>Thôn Khung Xa, xã Dương Sơn</t>
  </si>
  <si>
    <t>Thôn Nà Ngăm, xã Dương Sơn</t>
  </si>
  <si>
    <t>Thôn Nà Mình, xã Dương Sơn</t>
  </si>
  <si>
    <t>Thôn Khuổi Kheo, xã Dương Sơn</t>
  </si>
  <si>
    <t>Thôn Nà Phai, xã Dương Sơn</t>
  </si>
  <si>
    <t>Thôn Nà Cà, xã Dương Sơn</t>
  </si>
  <si>
    <t>Thôn Nà Khoa, xã Dương Sơn</t>
  </si>
  <si>
    <t>Thôn Khuổi Sluôn, xã Dương Sơn</t>
  </si>
  <si>
    <t>Thôn Nà Tảng, xã Trần Phú</t>
  </si>
  <si>
    <t>Thôn Nà Mển, xã Trần Phú</t>
  </si>
  <si>
    <t>Thôn Nà Vèn, xã Trần Phú</t>
  </si>
  <si>
    <t>Thôn Khuổi Quân, xã Cư Lễ</t>
  </si>
  <si>
    <t>Thôn Pò Rì, xã Cư Lễ</t>
  </si>
  <si>
    <t>Thôn Bản Pò, xã Cư Lễ</t>
  </si>
  <si>
    <t>Thôn Khau Ngoà, xã Cư Lễ</t>
  </si>
  <si>
    <t>Thôn Pò Pái, xã Cư Lễ</t>
  </si>
  <si>
    <t>Thôn Khuổi Nà, xã Đổng Xá</t>
  </si>
  <si>
    <t>Thôn Nà Thác, xã Đổng Xá</t>
  </si>
  <si>
    <t>Thôn Kẹn Cò, xã Đổng Xá</t>
  </si>
  <si>
    <t>Xã Đổng Xá, xã Đổng Xá</t>
  </si>
  <si>
    <t>Thôn Nà Khanh, xã Đổng Xá</t>
  </si>
  <si>
    <t>Thôn Khuổi Cáy, xã Đổng Xá</t>
  </si>
  <si>
    <t>Thôn Bản Sảng, xã Văn Lang</t>
  </si>
  <si>
    <t>Thôn To Đoóc, xã Văn Lang</t>
  </si>
  <si>
    <t>Thôn Nà Diệc, xã Văn Lang</t>
  </si>
  <si>
    <t>Thôn Thảm Mu, xã Văn Lang</t>
  </si>
  <si>
    <t>Thôn Nà Dường, xã Văn Lang</t>
  </si>
  <si>
    <t>Thôn Cốc Phia, xã Văn Lang</t>
  </si>
  <si>
    <t>Thôn Khuổi Phầy, xã Văn Vũ</t>
  </si>
  <si>
    <t>Thôn Pò Rản, xã Văn Vũ</t>
  </si>
  <si>
    <t>Thôn Khuổi Mụ, xã Văn Vũ</t>
  </si>
  <si>
    <t>Thôn Nà Cằm, xã Văn Vũ</t>
  </si>
  <si>
    <t>Thôn Nà Ca, xã Văn Vũ</t>
  </si>
  <si>
    <t>Thôn Nà Quáng, xã Văn Vũ</t>
  </si>
  <si>
    <t>Thôn Pò Cạu, xã Văn Vũ</t>
  </si>
  <si>
    <t>Thôn Pò Lải, xã Văn Vũ</t>
  </si>
  <si>
    <t>Thôn Nặm Rặc, xã Văn Vũ</t>
  </si>
  <si>
    <t xml:space="preserve">Thôn Khuổi Liềng, xã Văn Minh </t>
  </si>
  <si>
    <t>Thôn Pác Liềng, Nà Ngòa, xã Văn Minh</t>
  </si>
  <si>
    <t xml:space="preserve">Thôn Khuổi Tục, xã Văn Minh </t>
  </si>
  <si>
    <t>Thôn Nà Ro, xã Văn Minh</t>
  </si>
  <si>
    <t>Thôn Khuổi Tục, xã Văn Minh</t>
  </si>
  <si>
    <t>Thôn Nà Dụ, xã Văn Minh</t>
  </si>
  <si>
    <t>Thôn Nà Mực, xã Văn Minh</t>
  </si>
  <si>
    <t>Thôn Khuổi Kháp, xã Sơn Thành</t>
  </si>
  <si>
    <t>Thôn Thôm Pục, xã Sơn Thành</t>
  </si>
  <si>
    <t>Thôn Khuổi Luông, xã Sơn Thành</t>
  </si>
  <si>
    <t>Thôn Nà Kèn, xã Sơn Thành</t>
  </si>
  <si>
    <t>Thôn Pan Khe, xã Sơn Thành</t>
  </si>
  <si>
    <t>Thôn Thanh Sơn, xã Sơn Thành</t>
  </si>
  <si>
    <t>Thôn Hát Lài, xã Sơn Thành</t>
  </si>
  <si>
    <t>Thôn Nà Dăm, xã Xuân Dương</t>
  </si>
  <si>
    <t>Thôn Bắc Sen, xã Xuân Dương</t>
  </si>
  <si>
    <t>Thôn Cốc Càng, xã Xuân Dương</t>
  </si>
  <si>
    <t>Thôn Thôm Chản, xã Xuân Dương</t>
  </si>
  <si>
    <t>Thôn Nà Cai, xã Xuân Dương</t>
  </si>
  <si>
    <t>Thôn Khu Chợ, xã Xuân Dương</t>
  </si>
  <si>
    <t>Thôn Bản Cải, xã Liêm Thủy</t>
  </si>
  <si>
    <t>Xã Liêm Thủy, xã Liêm Thủy</t>
  </si>
  <si>
    <t>Thôn Lũng Danh, Xã Liêm Thủy</t>
  </si>
  <si>
    <t>Thôn Nà Pì, xã Liêm Thủy</t>
  </si>
  <si>
    <t>Thôn Khuổi Tấy B, xã Liêm Thủy</t>
  </si>
  <si>
    <t>Thôn Kim Vân, xã Kim Hỷ</t>
  </si>
  <si>
    <t>Thôn Bản Vèn, xã Kim Hỷ</t>
  </si>
  <si>
    <t>Thôn Nà Lác, xã Kim Hỷ</t>
  </si>
  <si>
    <t>C</t>
  </si>
  <si>
    <t>Nhà tập thể Trường Mầm non xã Liêm Thủy</t>
  </si>
  <si>
    <t>Đường Hin Lặp, thôn Nà Pì</t>
  </si>
  <si>
    <t>Nhà Văn hóa thôn Bản Cải</t>
  </si>
  <si>
    <t xml:space="preserve"> Thôn Khuổi Tấy B, xã Liêm Thủy</t>
  </si>
  <si>
    <t>Thôn Pò Phyeo, xã Văn Vũ</t>
  </si>
  <si>
    <t>Thôn Cạm Mjầu, xã Cư Lễ</t>
  </si>
  <si>
    <t>Mở mới đường sản xuất Cạm Mjầu – Cốc Cọng</t>
  </si>
  <si>
    <t>Mở mới đường sản xuất Cạm Mjầu - Thôm Phéc</t>
  </si>
  <si>
    <t>Đường bê tông Cạm Mjầu - Nộc Pẩư</t>
  </si>
  <si>
    <t xml:space="preserve"> KẾ HOẠCH VỐN THỰC HIỆN CHƯƠNG TRÌNH MỤC TIÊU QUỐC GIA PHÁT TRIỂN KINH TẾ - XÃ HỘI 
VÙNG ĐỒNG BÀO DÂN TỘC THIỂU SỐ VÀ MIỀN NÚI GIAI ĐOẠN 2021-2025</t>
  </si>
  <si>
    <t>Nhà văn hóa thôn Bản Vèn</t>
  </si>
  <si>
    <t>UBND HUYỆN NA RÌ</t>
  </si>
  <si>
    <t>Biểu số 01</t>
  </si>
  <si>
    <t>Phụ biểu số 01</t>
  </si>
  <si>
    <t>Kế hoạch vốn giai đoạn 2021-2025 trước điều chỉnh</t>
  </si>
  <si>
    <t>Kế hoạch vốn giai đoạn 2021-2025 sau điều chỉnh</t>
  </si>
  <si>
    <t>Điều chỉnh kế hoạch vốn</t>
  </si>
  <si>
    <t>Điều chỉnh tăng theo QĐ số 2328/QĐ-UBND ngày 08/12/2023 của UBND tỉnh Bắc Kạn</t>
  </si>
  <si>
    <t>Điều chỉnh giảm</t>
  </si>
  <si>
    <t>Điều chỉnh tăng</t>
  </si>
  <si>
    <t>Đường bê tông Cạm Bác - Hang Tiên (đoạn 3), thị trấn Yến Lạc</t>
  </si>
  <si>
    <t>Đã phân bổ</t>
  </si>
  <si>
    <t>Kế hoạch vốn năm 2024</t>
  </si>
  <si>
    <t>Kế hoạch vốn còn lại</t>
  </si>
  <si>
    <t>Cải tạo, nâng cấp đường liên thôn Bản Pò - Nà Đăng, thị trấn Yến Lạc</t>
  </si>
  <si>
    <t>Mái sân nhà văn hóa tổ nhân dân Phố B, thị trấn Yến Lạc</t>
  </si>
  <si>
    <t>Đường bê tông trục thôn đoan Mỏ Nọi - Nà Mang, thôn Nà Tha, xã Quang Phong</t>
  </si>
  <si>
    <t>Năm 2026</t>
  </si>
  <si>
    <t>Xây dựng nhà văn hóa thôn Nà Tha, xã Quang Phong</t>
  </si>
  <si>
    <t>Nhà văn hóa thôn Nà Coóc, xã Trần Phú</t>
  </si>
  <si>
    <t>Thôn Nà Coóc, xã Trần Phú</t>
  </si>
  <si>
    <t>Xây rãnh thoát nước thôn Nà Sát, xã Trần Phú</t>
  </si>
  <si>
    <t>Thôn Nà Sát, xã Trần Phú</t>
  </si>
  <si>
    <t>Đổ bê tông đường Tám Bung, xã Trần Phú</t>
  </si>
  <si>
    <t>Thôn Khu Chợ, xã Trần Phú</t>
  </si>
  <si>
    <t>Xây dựng đập mương Lọ Quỳnh, xã Trần Phú</t>
  </si>
  <si>
    <t>Bê tông đường Lùng Đứa - Vằng Mười, xã Trần Phú</t>
  </si>
  <si>
    <t>Thôn Vằng Mười, xã Trần Phú</t>
  </si>
  <si>
    <t>Cải tạo, sửa chữa nhà hiệu bộ và các phòng học Trường Tiểu học Trần Phú (trường chính)</t>
  </si>
  <si>
    <t>Thôn Khau Moóc, xã Trần Phú</t>
  </si>
  <si>
    <t>Nhà văn hóa thôn Khuổi Mụ</t>
  </si>
  <si>
    <t>Đường bê tông liên thôn Rầy Ỏi - Khuổi Kheo (đoạn Nà Nen - Khuổi Kheo), xã Dương Sơn</t>
  </si>
  <si>
    <t>Thôn Nà Nen - Khuổi Kheo, xã Dương Sơn</t>
  </si>
  <si>
    <t>Đường bê tông trục thôn Nà Giàu, xã Dương Sơn</t>
  </si>
  <si>
    <t>Thôn Nà Giàu</t>
  </si>
  <si>
    <t>Nâng cấp kênh mương Nà Mới + Cốc Nhừ, thôn Nà Phai, xã Dương Sơn</t>
  </si>
  <si>
    <t xml:space="preserve">Xây dựng nhà đa năng TrườngTH&amp;THCS Lạng San (trường chính cấp Tiểu học) </t>
  </si>
  <si>
    <t>Thôn Chợ Mới, xã Văn Lang</t>
  </si>
  <si>
    <t>Đường trục thôn đến nhà văn hóa Khuổi Liềng, xã Văn Minh</t>
  </si>
  <si>
    <t>Đường trục thôn Nà Piẹt, xã Văn Minh</t>
  </si>
  <si>
    <t>Nâng cấp đường Thảm Hon, thôn Nà Ngoàn</t>
  </si>
  <si>
    <t>Đường bê tông Nà Thác - Khuổi Tè</t>
  </si>
  <si>
    <t>Xây dựng các hạng mục trường chính và điểm trường Trường Mầm non xã Lương Thượng</t>
  </si>
  <si>
    <t>Xây dựng các hạng mục trường chính và điểm trường Trường TH&amp;THCS Lương Thượng</t>
  </si>
  <si>
    <t>Xây dựng các hạng mục phụ trợ nhà văn hóa thôn Pàn Xả</t>
  </si>
  <si>
    <t>Xây dựng các hạng mục phụ trợ nhà văn hóa thôn Vằng Khít</t>
  </si>
  <si>
    <t>Đường nội đồng từ QL279 - Nà Mùn thôn Bản Giang</t>
  </si>
  <si>
    <t>Thôn Pàn Xả</t>
  </si>
  <si>
    <t>Cầu Cốc Hắt - Nà Mình, xã Dương Sơn</t>
  </si>
  <si>
    <t>Thôn Nà Minhg</t>
  </si>
  <si>
    <t>Đường bê tông từ cầu Nà Chúa vào khu sản xuất</t>
  </si>
  <si>
    <t>Đường bê tông đường vào khu sản xuất Slọ Dắm, thôn Nặm Dắm (đoạn 2)</t>
  </si>
  <si>
    <t>Đường bê tông Khuổi Cuồng</t>
  </si>
  <si>
    <t>Đường bê tông Cốc Mòn - Pác Vạt</t>
  </si>
  <si>
    <t>Đường trục thôn Chợ Cũ, xã Văn Lang</t>
  </si>
  <si>
    <t>Đường bê tông Khuổi Tàn (giai đoạn 2)</t>
  </si>
  <si>
    <t>Nhà văn hóa thôn Khuổi Tàn</t>
  </si>
  <si>
    <t>Thôn Khuổi Tàn</t>
  </si>
  <si>
    <t>Đường bê tông Pác Ót, thôn Thôm Eng</t>
  </si>
  <si>
    <t>Thôn Thôm Eng</t>
  </si>
  <si>
    <t>Nâng cấp đường từ ĐT.256 đến Bản Trắng, thôn Cốc Càng, xã Xuân Dương</t>
  </si>
  <si>
    <t>Đường liên thôn từ đầu cầu treo Nà Nhạc - Cốc Ham, thôn Nà Nhạc, xã Xuân Dương</t>
  </si>
  <si>
    <t>Thôn Nà Nhạc</t>
  </si>
  <si>
    <t>Đường từ nhà văn hóa cũ thôn Nà Chang đến Cốc Lùng</t>
  </si>
  <si>
    <t>Đường Mác Kịnh, thôn Bản Cải, xã Liêm Thủy</t>
  </si>
  <si>
    <t>Xây dựng nhà kho, tường bao và nhà bảo vệ trường Mầm non Liêm Thủy</t>
  </si>
  <si>
    <t>Thôn Nà Piì</t>
  </si>
  <si>
    <t>Bỏ</t>
  </si>
  <si>
    <t>Điều chỉnh  dự án</t>
  </si>
  <si>
    <t>Đường bê tông Tổ nhân dân Bản Pò, thị trấn Yến Lạc</t>
  </si>
  <si>
    <t>Đường Nặm Thiếu đi núi Co Tiên, thôn Khuổi Nằn 1, thị trấn Yến Lạc</t>
  </si>
  <si>
    <t>Danh mục điều chỉnh tên dự án</t>
  </si>
  <si>
    <t>Danh mục dự án bổ sung mới</t>
  </si>
  <si>
    <t>Danh mục dự án điều chỉnh</t>
  </si>
  <si>
    <t>Nâng cấp đường Thẳm Hon, thôn Nà Ngoàn</t>
  </si>
  <si>
    <t>Danh mục điều chỉnh dự án</t>
  </si>
  <si>
    <t>Năm 2024-2025</t>
  </si>
  <si>
    <t>Thôn Chợ Cũ</t>
  </si>
  <si>
    <t>Xây dựng nhà kho và tường bao Trường Mần non xã Liêm Thủy</t>
  </si>
  <si>
    <t>Thôn Nà Pì, Xã Liêm Thủy</t>
  </si>
  <si>
    <t>Hủy bỏ danh mục</t>
  </si>
  <si>
    <t>Dư chưa phân bổ</t>
  </si>
  <si>
    <t>Tổng cộng</t>
  </si>
  <si>
    <t>Quy mô đầu tư được phê duyệt hoặc dự kiến</t>
  </si>
  <si>
    <t>UBND xã Sơn Thành</t>
  </si>
  <si>
    <t>UBND xã Văn Lang</t>
  </si>
  <si>
    <t>Sửa chữa nhà lớp học và các hạng mục phụ trợ khác</t>
  </si>
  <si>
    <t>Sửa chữa phần mái đình chợ, Nhà đình, tường rào và các hạng mục phụ trợ khác</t>
  </si>
  <si>
    <t>Sửa chữa tuyến mương chiều dài khoảng 1600m</t>
  </si>
  <si>
    <t>Sửa chữa các tuyến kênh mương trên địa bàn xã</t>
  </si>
  <si>
    <t>Kế hoạch vốn năm 2022, 2023 kéo dài thực hiện và giải ngân sang năm 2024</t>
  </si>
  <si>
    <t>Ngân sách TW (DP: 100)</t>
  </si>
  <si>
    <t>Nguồn vốn tỉnh đối ứng (DP: 200)</t>
  </si>
  <si>
    <t>Ban Quản lý dự án ĐTXD huyện</t>
  </si>
  <si>
    <t>Ban Quản lý dự án đầu tư xây dựng huyện</t>
  </si>
  <si>
    <t>UBND thị trấn Yến Lạc</t>
  </si>
  <si>
    <t>DĐơn vị tính: Triệu đồng</t>
  </si>
  <si>
    <t>Mã ngành kinh tế (loại, khoản)</t>
  </si>
  <si>
    <t>Địa điểm mở tài khoản của dự án</t>
  </si>
  <si>
    <t>Kế hoạch đầu tư công trụng hạn giai đoạn 2021-2025</t>
  </si>
  <si>
    <t>Vốn đã giải ngân từ khởi công đến hết kế hoạch năm trước</t>
  </si>
  <si>
    <t>KBNN huyện Na Rì</t>
  </si>
  <si>
    <t>Đơn vị tính: Triệu đồng</t>
  </si>
  <si>
    <t>Tên đơn vị/Chủ đầu tư</t>
  </si>
  <si>
    <t>Kế hoạch vốn năm 2023 kéo dài thời gian thực hiện và giải ngân sang năm 2024</t>
  </si>
  <si>
    <t xml:space="preserve">Kế hoạch vốn năm 2024 </t>
  </si>
  <si>
    <t>Dự án 4-Đầu tư cơ sở hạ tầng thiết yếu phục vụ sản xuất, đời sống vùng đồng bào DTTS&amp;MN</t>
  </si>
  <si>
    <t>Cấp xã</t>
  </si>
  <si>
    <t>Quyết định đầu tư dự án</t>
  </si>
  <si>
    <t>Số, ngày, tháng, năm</t>
  </si>
  <si>
    <t>Kế hoạch đầu tư công năm 2024</t>
  </si>
  <si>
    <t>Mã số dự án đầu tư</t>
  </si>
  <si>
    <t>Tổng kế hoạch vốn phân bổ chi tiết từng đơn vị sau điều chỉnh</t>
  </si>
  <si>
    <t>Điều chỉnh, bổ sung tăng</t>
  </si>
  <si>
    <t>Kế hoạch đầu tư công năm 2024 sau điều chỉnh</t>
  </si>
  <si>
    <t>5=8+11</t>
  </si>
  <si>
    <t>Dự án 1-Giải quyết tình trạng thiếu đất ở, nhà ở, đất sản xuất, nước sinh hoạt</t>
  </si>
  <si>
    <t>15=16+17</t>
  </si>
  <si>
    <t>21=22+23</t>
  </si>
  <si>
    <t>10=11+12</t>
  </si>
  <si>
    <t>7=8+9</t>
  </si>
  <si>
    <t>BIỂU CHI TIẾT ĐIỀU CHỈNH, BỔ SUNG KẾ HOẠCH ĐẦU TƯ CÔNG THỰC HIỆN CHƯƠNG TRÌNH MỤC TIÊU QUỐC GIA
 PHÁT TRIỂN KINH TẾ - XÃ HỘI VÙNG ĐỒNG BÀO DÂN TỘC THIỂU SỐ VÀ MIỀN NÚI NĂM 2024</t>
  </si>
  <si>
    <t>BIỂU TỔNG HỢP ĐƠN VỊ SAU  ĐIỀU CHỈNH KẾ HOẠCH ĐẦU TƯ CÔNG THỰC HIỆN CHƯƠNG TRÌNH MỤC TIÊU QUỐC GIA PHÁT TRIỂN KINH TẾ - XÃ HỘI VÙNG ĐỒNG BÀO DÂN TỘC THIỂU SỐ VÀ MIỀN NÚI NĂM 2024</t>
  </si>
  <si>
    <t xml:space="preserve"> DỰ ÁN 04 - ĐẦU TƯ CƠ SỞ HẠ TẦNG THIẾT YẾU, PHỤC VỤ SẢN XUẤT, ĐỜI SỐNG VÙNG ĐỒNG BÀO DTTS&amp;MN (Mã CTMT: 0514)</t>
  </si>
  <si>
    <t>Mã CTMT: 0510</t>
  </si>
  <si>
    <t>Cải tạo, sửa chữa các công trình thủy lợi xã Trần Phú</t>
  </si>
  <si>
    <t>Cải tạo, nâng cấp rãnh thoát nước Thôn Chợ, xã Đổng Xá</t>
  </si>
  <si>
    <t>Thôn Chợ, xã Đổng Xá</t>
  </si>
  <si>
    <t>Sửa chữa, nâng cấp đập và mương Nà Am, xã Đổng Xá</t>
  </si>
  <si>
    <t>Thôn Nà Quản, xã Đổng Xá</t>
  </si>
  <si>
    <t>Sửa chữa ngầm Nà Hẻo, thôn Nà Deng, xã Văn Vũ</t>
  </si>
  <si>
    <t>Thôn Nà Chia, xã Văn Vũ</t>
  </si>
  <si>
    <t>283</t>
  </si>
  <si>
    <t>3=4+5</t>
  </si>
  <si>
    <t>6=7+8</t>
  </si>
  <si>
    <t>9=10+11</t>
  </si>
  <si>
    <t>4=7+10</t>
  </si>
  <si>
    <t>16=19</t>
  </si>
  <si>
    <t>17=20</t>
  </si>
  <si>
    <t>22=16</t>
  </si>
  <si>
    <t>23=17</t>
  </si>
  <si>
    <t>Số 3608/QĐ-UBND ngày 07/11/2024 của UBND huyện Na Rì</t>
  </si>
  <si>
    <t>Số 3607/QĐ-UBND ngày 07/11/2024 của UBND huyện Na Rì</t>
  </si>
  <si>
    <t>Số 3604/QĐ-UBND ngày 06/11/2024 của UBND huyện Na Rì</t>
  </si>
  <si>
    <t>Số 3603/QĐ-UBND ngày 06/11/2024 của UBND huyện Na Rì</t>
  </si>
  <si>
    <t>(Kèm theo Nghị quyết số        /NQ-HĐND ngày        /11/2024 của HĐND huyện Na Rì)</t>
  </si>
</sst>
</file>

<file path=xl/styles.xml><?xml version="1.0" encoding="utf-8"?>
<styleSheet xmlns="http://schemas.openxmlformats.org/spreadsheetml/2006/main">
  <numFmts count="176">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0.0"/>
    <numFmt numFmtId="169" formatCode="_(* #,##0_);_(* \(#,##0\);_(* &quot;-&quot;??_);_(@_)"/>
    <numFmt numFmtId="170" formatCode="_(* #,##0.0_);_(* \(#,##0.0\);_(* &quot;-&quot;??_);_(@_)"/>
    <numFmt numFmtId="171" formatCode="_-* #,##0_-;\-* #,##0_-;_-* &quot;-&quot;_-;_-@_-"/>
    <numFmt numFmtId="172" formatCode="_-* #,##0.00\ _€_-;\-* #,##0.00\ _€_-;_-* &quot;-&quot;??\ _€_-;_-@_-"/>
    <numFmt numFmtId="173" formatCode="#,##0.000"/>
    <numFmt numFmtId="174" formatCode="0.0"/>
    <numFmt numFmtId="175" formatCode="_(* #,##0.0000_);_(* \(#,##0.0000\);_(* &quot;-&quot;??_);_(@_)"/>
    <numFmt numFmtId="176" formatCode="_(* #,##0.000_);_(* \(#,##0.000\);_(* &quot;-&quot;??_);_(@_)"/>
    <numFmt numFmtId="177" formatCode="_(* #,##0.000000_);_(* \(#,##0.000000\);_(* &quot;-&quot;??_);_(@_)"/>
    <numFmt numFmtId="178" formatCode="_(* #,##0.00000_);_(* \(#,##0.00000\);_(* &quot;-&quot;??_);_(@_)"/>
    <numFmt numFmtId="179" formatCode="_(* #,##0.0000000_);_(* \(#,##0.0000000\);_(* &quot;-&quot;??_);_(@_)"/>
    <numFmt numFmtId="180" formatCode="#,##0.00000"/>
    <numFmt numFmtId="181" formatCode="&quot;£&quot;#,##0;[Red]\-&quot;£&quot;#,##0"/>
    <numFmt numFmtId="182" formatCode="&quot;£&quot;#,##0.00;\-&quot;£&quot;#,##0.00"/>
    <numFmt numFmtId="183" formatCode="_-&quot;£&quot;* #,##0_-;\-&quot;£&quot;* #,##0_-;_-&quot;£&quot;* &quot;-&quot;_-;_-@_-"/>
    <numFmt numFmtId="184" formatCode="_-* #,##0.00_-;\-* #,##0.00_-;_-* &quot;-&quot;??_-;_-@_-"/>
    <numFmt numFmtId="185" formatCode="&quot;$&quot;#,##0;\-&quot;$&quot;#,##0"/>
    <numFmt numFmtId="186" formatCode="&quot;$&quot;#,##0;[Red]\-&quot;$&quot;#,##0"/>
    <numFmt numFmtId="187" formatCode="_-&quot;$&quot;* #,##0_-;\-&quot;$&quot;* #,##0_-;_-&quot;$&quot;* &quot;-&quot;_-;_-@_-"/>
    <numFmt numFmtId="188" formatCode="_-&quot;$&quot;* #,##0.00_-;\-&quot;$&quot;* #,##0.00_-;_-&quot;$&quot;* &quot;-&quot;??_-;_-@_-"/>
    <numFmt numFmtId="189" formatCode="_-* #,##0.00\ _V_N_D_-;\-* #,##0.00\ _V_N_D_-;_-* &quot;-&quot;??\ _V_N_D_-;_-@_-"/>
    <numFmt numFmtId="190" formatCode="#,##0;[Red]#,##0"/>
    <numFmt numFmtId="191" formatCode="0.0%"/>
    <numFmt numFmtId="192" formatCode="0.000"/>
    <numFmt numFmtId="193" formatCode="_(* #,##0.0_);_(* \(#,##0.0\);_(* &quot;-&quot;?_);_(@_)"/>
    <numFmt numFmtId="194" formatCode="&quot;True&quot;;&quot;True&quot;;&quot;False&quot;"/>
    <numFmt numFmtId="195" formatCode="#,##0.000_);\(#,##0.000\)"/>
    <numFmt numFmtId="196" formatCode="#,##0.0_);\(#,##0.0\)"/>
    <numFmt numFmtId="197" formatCode="_(* #,##0.00_);_(* \(#,##0.00\);_(* \-??_);_(@_)"/>
    <numFmt numFmtId="198" formatCode="_-&quot;ñ&quot;* #,##0_-;\-&quot;ñ&quot;* #,##0_-;_-&quot;ñ&quot;* &quot;-&quot;_-;_-@_-"/>
    <numFmt numFmtId="199" formatCode="_-* #,##0.00\ _F_-;\-* #,##0.00\ _F_-;_-* &quot;-&quot;??\ _F_-;_-@_-"/>
    <numFmt numFmtId="200" formatCode="_-* #,##0.00\ &quot;F&quot;_-;\-* #,##0.00\ &quot;F&quot;_-;_-* &quot;-&quot;??\ &quot;F&quot;_-;_-@_-"/>
    <numFmt numFmtId="201" formatCode="#,##0\ &quot;DM&quot;;\-#,##0\ &quot;DM&quot;"/>
    <numFmt numFmtId="202" formatCode="0.000%"/>
    <numFmt numFmtId="203" formatCode="#.##00"/>
    <numFmt numFmtId="204" formatCode="&quot;Rp&quot;#,##0_);[Red]\(&quot;Rp&quot;#,##0\)"/>
    <numFmt numFmtId="205" formatCode="_ * #,##0_)\ &quot;$&quot;_ ;_ * \(#,##0\)\ &quot;$&quot;_ ;_ * &quot;-&quot;_)\ &quot;$&quot;_ ;_ @_ "/>
    <numFmt numFmtId="206" formatCode="_-* #,##0\ _F_-;\-* #,##0\ _F_-;_-* &quot;-&quot;\ _F_-;_-@_-"/>
    <numFmt numFmtId="207" formatCode="_-* #,##0\ &quot;F&quot;_-;\-* #,##0\ &quot;F&quot;_-;_-* &quot;-&quot;\ &quot;F&quot;_-;_-@_-"/>
    <numFmt numFmtId="208" formatCode="_-* #,##0\ &quot;€&quot;_-;\-* #,##0\ &quot;€&quot;_-;_-* &quot;-&quot;\ &quot;€&quot;_-;_-@_-"/>
    <numFmt numFmtId="209" formatCode="_-* #,##0\ &quot;$&quot;_-;\-* #,##0\ &quot;$&quot;_-;_-* &quot;-&quot;\ &quot;$&quot;_-;_-@_-"/>
    <numFmt numFmtId="210" formatCode="_ * #,##0_)&quot;$&quot;_ ;_ * \(#,##0\)&quot;$&quot;_ ;_ * &quot;-&quot;_)&quot;$&quot;_ ;_ @_ "/>
    <numFmt numFmtId="211" formatCode="_-&quot;€&quot;* #,##0_-;\-&quot;€&quot;* #,##0_-;_-&quot;€&quot;* &quot;-&quot;_-;_-@_-"/>
    <numFmt numFmtId="212" formatCode="_ * #,##0.00_ ;_ * \-#,##0.00_ ;_ * &quot;-&quot;??_ ;_ @_ "/>
    <numFmt numFmtId="213" formatCode="_ * #,##0.00_)\ _$_ ;_ * \(#,##0.00\)\ _$_ ;_ * &quot;-&quot;??_)\ _$_ ;_ @_ "/>
    <numFmt numFmtId="214" formatCode="_ * #,##0.00_)_$_ ;_ * \(#,##0.00\)_$_ ;_ * &quot;-&quot;??_)_$_ ;_ @_ "/>
    <numFmt numFmtId="215" formatCode="_-* #,##0.00\ _ñ_-;\-* #,##0.00\ _ñ_-;_-* &quot;-&quot;??\ _ñ_-;_-@_-"/>
    <numFmt numFmtId="216" formatCode="_-* #,##0.00\ _ñ_-;_-* #,##0.00\ _ñ\-;_-* &quot;-&quot;??\ _ñ_-;_-@_-"/>
    <numFmt numFmtId="217" formatCode="_(&quot;$&quot;\ * #,##0_);_(&quot;$&quot;\ * \(#,##0\);_(&quot;$&quot;\ * &quot;-&quot;_);_(@_)"/>
    <numFmt numFmtId="218" formatCode="_-* #,##0.00000000_-;\-* #,##0.00000000_-;_-* &quot;-&quot;??_-;_-@_-"/>
    <numFmt numFmtId="219" formatCode="_(&quot;€&quot;\ * #,##0_);_(&quot;€&quot;\ * \(#,##0\);_(&quot;€&quot;\ * &quot;-&quot;_);_(@_)"/>
    <numFmt numFmtId="220" formatCode="_-* #,##0\ &quot;ñ&quot;_-;\-* #,##0\ &quot;ñ&quot;_-;_-* &quot;-&quot;\ &quot;ñ&quot;_-;_-@_-"/>
    <numFmt numFmtId="221" formatCode="_-* #,##0\ _€_-;\-* #,##0\ _€_-;_-* &quot;-&quot;\ _€_-;_-@_-"/>
    <numFmt numFmtId="222" formatCode="_ * #,##0_ ;_ * \-#,##0_ ;_ * &quot;-&quot;_ ;_ @_ "/>
    <numFmt numFmtId="223" formatCode="_-* #,##0\ _V_N_D_-;\-* #,##0\ _V_N_D_-;_-* &quot;-&quot;\ _V_N_D_-;_-@_-"/>
    <numFmt numFmtId="224" formatCode="_ * #,##0_)\ _$_ ;_ * \(#,##0\)\ _$_ ;_ * &quot;-&quot;_)\ _$_ ;_ @_ "/>
    <numFmt numFmtId="225" formatCode="_ * #,##0_)_$_ ;_ * \(#,##0\)_$_ ;_ * &quot;-&quot;_)_$_ ;_ @_ "/>
    <numFmt numFmtId="226" formatCode="_-* #,##0\ _$_-;\-* #,##0\ _$_-;_-* &quot;-&quot;\ _$_-;_-@_-"/>
    <numFmt numFmtId="227" formatCode="_-* #,##0\ _ñ_-;\-* #,##0\ _ñ_-;_-* &quot;-&quot;\ _ñ_-;_-@_-"/>
    <numFmt numFmtId="228" formatCode="_-* #,##0\ _ñ_-;_-* #,##0\ _ñ\-;_-* &quot;-&quot;\ _ñ_-;_-@_-"/>
    <numFmt numFmtId="229" formatCode="_ &quot;\&quot;* #,##0_ ;_ &quot;\&quot;* \-#,##0_ ;_ &quot;\&quot;* &quot;-&quot;_ ;_ @_ "/>
    <numFmt numFmtId="230" formatCode="&quot;\&quot;#,##0.00;[Red]&quot;\&quot;\-#,##0.00"/>
    <numFmt numFmtId="231" formatCode="&quot;\&quot;#,##0;[Red]&quot;\&quot;\-#,##0"/>
    <numFmt numFmtId="232" formatCode="_ * #,##0_)\ &quot;F&quot;_ ;_ * \(#,##0\)\ &quot;F&quot;_ ;_ * &quot;-&quot;_)\ &quot;F&quot;_ ;_ @_ "/>
    <numFmt numFmtId="233" formatCode="_-&quot;F&quot;* #,##0_-;\-&quot;F&quot;* #,##0_-;_-&quot;F&quot;* &quot;-&quot;_-;_-@_-"/>
    <numFmt numFmtId="234" formatCode="_ * #,##0.00_)&quot;$&quot;_ ;_ * \(#,##0.00\)&quot;$&quot;_ ;_ * &quot;-&quot;??_)&quot;$&quot;_ ;_ @_ "/>
    <numFmt numFmtId="235" formatCode="_ * #,##0.0_)_$_ ;_ * \(#,##0.0\)_$_ ;_ * &quot;-&quot;??_)_$_ ;_ @_ "/>
    <numFmt numFmtId="236" formatCode=";;"/>
    <numFmt numFmtId="237" formatCode="_ * #,##0.00_)&quot;€&quot;_ ;_ * \(#,##0.00\)&quot;€&quot;_ ;_ * &quot;-&quot;??_)&quot;€&quot;_ ;_ @_ "/>
    <numFmt numFmtId="238" formatCode="_ &quot;\&quot;* #,##0.00_ ;_ &quot;\&quot;* &quot;\&quot;&quot;\&quot;&quot;\&quot;&quot;\&quot;&quot;\&quot;&quot;\&quot;&quot;\&quot;&quot;\&quot;&quot;\&quot;&quot;\&quot;&quot;\&quot;&quot;\&quot;\-#,##0.00_ ;_ &quot;\&quot;* &quot;-&quot;??_ ;_ @_ "/>
    <numFmt numFmtId="239" formatCode="_ * #,##0.00_ ;_ * &quot;\&quot;&quot;\&quot;&quot;\&quot;&quot;\&quot;&quot;\&quot;&quot;\&quot;&quot;\&quot;&quot;\&quot;&quot;\&quot;&quot;\&quot;&quot;\&quot;&quot;\&quot;\-#,##0.00_ ;_ * &quot;-&quot;??_ ;_ @_ "/>
    <numFmt numFmtId="240" formatCode="&quot;$&quot;#,##0.00"/>
    <numFmt numFmtId="241" formatCode="&quot;\&quot;#,##0;&quot;\&quot;&quot;\&quot;&quot;\&quot;&quot;\&quot;&quot;\&quot;&quot;\&quot;&quot;\&quot;&quot;\&quot;&quot;\&quot;&quot;\&quot;&quot;\&quot;&quot;\&quot;&quot;\&quot;&quot;\&quot;\-#,##0"/>
    <numFmt numFmtId="242" formatCode="_ * #,##0.00_)&quot;£&quot;_ ;_ * \(#,##0.00\)&quot;£&quot;_ ;_ * &quot;-&quot;??_)&quot;£&quot;_ ;_ @_ "/>
    <numFmt numFmtId="243" formatCode="&quot;\&quot;#,##0;[Red]&quot;\&quot;&quot;\&quot;&quot;\&quot;&quot;\&quot;&quot;\&quot;&quot;\&quot;&quot;\&quot;&quot;\&quot;&quot;\&quot;&quot;\&quot;&quot;\&quot;&quot;\&quot;&quot;\&quot;&quot;\&quot;\-#,##0"/>
    <numFmt numFmtId="244" formatCode="_ * #,##0_ ;_ * &quot;\&quot;&quot;\&quot;&quot;\&quot;&quot;\&quot;&quot;\&quot;&quot;\&quot;&quot;\&quot;&quot;\&quot;&quot;\&quot;&quot;\&quot;&quot;\&quot;&quot;\&quot;\-#,##0_ ;_ * &quot;-&quot;_ ;_ @_ "/>
    <numFmt numFmtId="245" formatCode="0.0%;\(0.0%\)"/>
    <numFmt numFmtId="246" formatCode="&quot;\&quot;#,##0.00;&quot;\&quot;&quot;\&quot;&quot;\&quot;&quot;\&quot;&quot;\&quot;&quot;\&quot;&quot;\&quot;&quot;\&quot;&quot;\&quot;&quot;\&quot;&quot;\&quot;&quot;\&quot;&quot;\&quot;&quot;\&quot;\-#,##0.00"/>
    <numFmt numFmtId="247" formatCode="0.000_)"/>
    <numFmt numFmtId="248" formatCode="#,##0_)_%;\(#,##0\)_%;"/>
    <numFmt numFmtId="249" formatCode="_._.* #,##0.0_)_%;_._.* \(#,##0.0\)_%"/>
    <numFmt numFmtId="250" formatCode="#,##0.0_)_%;\(#,##0.0\)_%;\ \ .0_)_%"/>
    <numFmt numFmtId="251" formatCode="_._.* #,##0.00_)_%;_._.* \(#,##0.00\)_%"/>
    <numFmt numFmtId="252" formatCode="#,##0.00_)_%;\(#,##0.00\)_%;\ \ .00_)_%"/>
    <numFmt numFmtId="253" formatCode="_._.* #,##0.000_)_%;_._.* \(#,##0.000\)_%"/>
    <numFmt numFmtId="254" formatCode="#,##0.000_)_%;\(#,##0.000\)_%;\ \ .000_)_%"/>
    <numFmt numFmtId="255" formatCode="_(* #,##0.00_);_(* \(#,##0.00\);_(* &quot;-&quot;&quot;?&quot;&quot;?&quot;_);_(@_)"/>
    <numFmt numFmtId="256" formatCode="_-* #,##0\ &quot;þ&quot;_-;\-* #,##0\ &quot;þ&quot;_-;_-* &quot;-&quot;\ &quot;þ&quot;_-;_-@_-"/>
    <numFmt numFmtId="257" formatCode="&quot;?&quot;#,##0;&quot;?&quot;\-#,##0"/>
    <numFmt numFmtId="258" formatCode="_-* #,##0.00\ _þ_-;\-* #,##0.00\ _þ_-;_-* &quot;-&quot;??\ _þ_-;_-@_-"/>
    <numFmt numFmtId="259" formatCode="_-* #,##0\ _₫_-;\-* #,##0\ _₫_-;_-* &quot;-&quot;??\ _₫_-;_-@_-"/>
    <numFmt numFmtId="260" formatCode="_-* #,##0_-;\-* #,##0_-;_-* &quot;-&quot;??_-;_-@_-"/>
    <numFmt numFmtId="261" formatCode="\t#\ ??/??"/>
    <numFmt numFmtId="262" formatCode="0.0000"/>
    <numFmt numFmtId="263" formatCode="_-* #,##0.00\ _$_-;\-* #,##0.00\ _$_-;_-* &quot;-&quot;??\ _$_-;_-@_-"/>
    <numFmt numFmtId="264" formatCode="_-* #,##0.0\ _₫_-;\-* #,##0.0\ _₫_-;_-* &quot;-&quot;??\ _₫_-;_-@_-"/>
    <numFmt numFmtId="265" formatCode="_(* #.##0.00_);_(* \(#.##0.00\);_(* &quot;-&quot;??_);_(@_)"/>
    <numFmt numFmtId="266" formatCode="&quot;\&quot;#&quot;,&quot;##0&quot;.&quot;00;[Red]&quot;\&quot;\-#&quot;,&quot;##0&quot;.&quot;00"/>
    <numFmt numFmtId="267" formatCode="#,##0.00;[Red]#,##0.00"/>
    <numFmt numFmtId="268" formatCode="#,##0;\(#,##0\)"/>
    <numFmt numFmtId="269" formatCode="_._.* \(#,##0\)_%;_._.* #,##0_)_%;_._.* 0_)_%;_._.@_)_%"/>
    <numFmt numFmtId="270" formatCode="_._.&quot;€&quot;* \(#,##0\)_%;_._.&quot;€&quot;* #,##0_)_%;_._.&quot;€&quot;* 0_)_%;_._.@_)_%"/>
    <numFmt numFmtId="271" formatCode="* \(#,##0\);* #,##0_);&quot;-&quot;??_);@"/>
    <numFmt numFmtId="272" formatCode="_ &quot;R&quot;\ * #,##0_ ;_ &quot;R&quot;\ * \-#,##0_ ;_ &quot;R&quot;\ * &quot;-&quot;_ ;_ @_ "/>
    <numFmt numFmtId="273" formatCode="_ * #,##0.00_ ;_ * &quot;\&quot;&quot;\&quot;&quot;\&quot;&quot;\&quot;&quot;\&quot;&quot;\&quot;\-#,##0.00_ ;_ * &quot;-&quot;??_ ;_ @_ "/>
    <numFmt numFmtId="274" formatCode="&quot;€&quot;* #,##0_)_%;&quot;€&quot;* \(#,##0\)_%;&quot;€&quot;* &quot;-&quot;??_)_%;@_)_%"/>
    <numFmt numFmtId="275" formatCode="&quot;$&quot;* #,##0_)_%;&quot;$&quot;* \(#,##0\)_%;&quot;$&quot;* &quot;-&quot;??_)_%;@_)_%"/>
    <numFmt numFmtId="276" formatCode="&quot;\&quot;#,##0.00;&quot;\&quot;&quot;\&quot;&quot;\&quot;&quot;\&quot;&quot;\&quot;&quot;\&quot;&quot;\&quot;&quot;\&quot;\-#,##0.00"/>
    <numFmt numFmtId="277" formatCode="_._.&quot;€&quot;* #,##0.0_)_%;_._.&quot;€&quot;* \(#,##0.0\)_%"/>
    <numFmt numFmtId="278" formatCode="&quot;€&quot;* #,##0.0_)_%;&quot;€&quot;* \(#,##0.0\)_%;&quot;€&quot;* \ .0_)_%"/>
    <numFmt numFmtId="279" formatCode="_._.&quot;$&quot;* #,##0.0_)_%;_._.&quot;$&quot;* \(#,##0.0\)_%"/>
    <numFmt numFmtId="280" formatCode="_._.&quot;€&quot;* #,##0.00_)_%;_._.&quot;€&quot;* \(#,##0.00\)_%"/>
    <numFmt numFmtId="281" formatCode="&quot;€&quot;* #,##0.00_)_%;&quot;€&quot;* \(#,##0.00\)_%;&quot;€&quot;* \ .00_)_%"/>
    <numFmt numFmtId="282" formatCode="_._.&quot;$&quot;* #,##0.00_)_%;_._.&quot;$&quot;* \(#,##0.00\)_%"/>
    <numFmt numFmtId="283" formatCode="_._.&quot;€&quot;* #,##0.000_)_%;_._.&quot;€&quot;* \(#,##0.000\)_%"/>
    <numFmt numFmtId="284" formatCode="&quot;€&quot;* #,##0.000_)_%;&quot;€&quot;* \(#,##0.000\)_%;&quot;€&quot;* \ .000_)_%"/>
    <numFmt numFmtId="285" formatCode="_._.&quot;$&quot;* #,##0.000_)_%;_._.&quot;$&quot;* \(#,##0.000\)_%"/>
    <numFmt numFmtId="286" formatCode="_-* #,##0.00\ &quot;€&quot;_-;\-* #,##0.00\ &quot;€&quot;_-;_-* &quot;-&quot;??\ &quot;€&quot;_-;_-@_-"/>
    <numFmt numFmtId="287" formatCode="_ * #,##0_ ;_ * &quot;\&quot;&quot;\&quot;&quot;\&quot;&quot;\&quot;&quot;\&quot;&quot;\&quot;\-#,##0_ ;_ * &quot;-&quot;_ ;_ @_ "/>
    <numFmt numFmtId="288" formatCode="\$#,##0\ ;\(\$#,##0\)"/>
    <numFmt numFmtId="289" formatCode="&quot;$&quot;#,##0\ ;\(&quot;$&quot;#,##0\)"/>
    <numFmt numFmtId="290" formatCode="\t0.00%"/>
    <numFmt numFmtId="291" formatCode="* #,##0_);* \(#,##0\);&quot;-&quot;??_);@"/>
    <numFmt numFmtId="292" formatCode="\U\S\$#,##0.00;\(\U\S\$#,##0.00\)"/>
    <numFmt numFmtId="293" formatCode="_(\§\g\ #,##0_);_(\§\g\ \(#,##0\);_(\§\g\ &quot;-&quot;??_);_(@_)"/>
    <numFmt numFmtId="294" formatCode="_(\§\g\ #,##0_);_(\§\g\ \(#,##0\);_(\§\g\ &quot;-&quot;_);_(@_)"/>
    <numFmt numFmtId="295" formatCode="\§\g#,##0_);\(\§\g#,##0\)"/>
    <numFmt numFmtId="296" formatCode="_-&quot;VND&quot;* #,##0_-;\-&quot;VND&quot;* #,##0_-;_-&quot;VND&quot;* &quot;-&quot;_-;_-@_-"/>
    <numFmt numFmtId="297" formatCode="_(&quot;Rp&quot;* #,##0.00_);_(&quot;Rp&quot;* \(#,##0.00\);_(&quot;Rp&quot;* &quot;-&quot;??_);_(@_)"/>
    <numFmt numFmtId="298" formatCode="#,##0.00\ &quot;FB&quot;;[Red]\-#,##0.00\ &quot;FB&quot;"/>
    <numFmt numFmtId="299" formatCode="#,##0\ &quot;$&quot;;\-#,##0\ &quot;$&quot;"/>
    <numFmt numFmtId="300" formatCode="_-* #,##0\ _F_B_-;\-* #,##0\ _F_B_-;_-* &quot;-&quot;\ _F_B_-;_-@_-"/>
    <numFmt numFmtId="301" formatCode="_-[$€]* #,##0.00_-;\-[$€]* #,##0.00_-;_-[$€]* &quot;-&quot;??_-;_-@_-"/>
    <numFmt numFmtId="302" formatCode="_ * #,##0.00_)_d_ ;_ * \(#,##0.00\)_d_ ;_ * &quot;-&quot;??_)_d_ ;_ @_ "/>
    <numFmt numFmtId="303" formatCode="#,##0_);\-#,##0_)"/>
    <numFmt numFmtId="304" formatCode="#,###;\-#,###;&quot;&quot;;_(@_)"/>
    <numFmt numFmtId="305" formatCode="&quot;€&quot;#,##0;\-&quot;€&quot;#,##0"/>
    <numFmt numFmtId="306" formatCode="#,##0\ &quot;$&quot;_);\(#,##0\ &quot;$&quot;\)"/>
    <numFmt numFmtId="307" formatCode="#,###"/>
    <numFmt numFmtId="308" formatCode="&quot;Fr.&quot;\ #,##0.00;[Red]&quot;Fr.&quot;\ \-#,##0.00"/>
    <numFmt numFmtId="309" formatCode="_ &quot;Fr.&quot;\ * #,##0_ ;_ &quot;Fr.&quot;\ * \-#,##0_ ;_ &quot;Fr.&quot;\ * &quot;-&quot;_ ;_ @_ "/>
    <numFmt numFmtId="310" formatCode="&quot;\&quot;#,##0;[Red]\-&quot;\&quot;#,##0"/>
    <numFmt numFmtId="311" formatCode="&quot;\&quot;#,##0.00;\-&quot;\&quot;#,##0.00"/>
    <numFmt numFmtId="312" formatCode="mmmm\ d\,\ yyyy"/>
    <numFmt numFmtId="313" formatCode="#,##0.00_);\-#,##0.00_)"/>
    <numFmt numFmtId="314" formatCode="0_)%;\(0\)%"/>
    <numFmt numFmtId="315" formatCode="_._._(* 0_)%;_._.* \(0\)%"/>
    <numFmt numFmtId="316" formatCode="_(0_)%;\(0\)%"/>
    <numFmt numFmtId="317" formatCode="0%_);\(0%\)"/>
    <numFmt numFmtId="318" formatCode="_ &quot;\&quot;* #,##0_ ;_ &quot;\&quot;* &quot;\&quot;&quot;\&quot;&quot;\&quot;&quot;\&quot;&quot;\&quot;&quot;\&quot;&quot;\&quot;&quot;\&quot;&quot;\&quot;&quot;\&quot;&quot;\&quot;&quot;\&quot;&quot;\&quot;&quot;\&quot;\-#,##0_ ;_ &quot;\&quot;* &quot;-&quot;_ ;_ @_ "/>
    <numFmt numFmtId="319" formatCode="_(0.0_)%;\(0.0\)%"/>
    <numFmt numFmtId="320" formatCode="_._._(* 0.0_)%;_._.* \(0.0\)%"/>
    <numFmt numFmtId="321" formatCode="_(0.00_)%;\(0.00\)%"/>
    <numFmt numFmtId="322" formatCode="_._._(* 0.00_)%;_._.* \(0.00\)%"/>
    <numFmt numFmtId="323" formatCode="_(0.000_)%;\(0.000\)%"/>
    <numFmt numFmtId="324" formatCode="_._._(* 0.000_)%;_._.* \(0.000\)%"/>
    <numFmt numFmtId="325" formatCode="#"/>
    <numFmt numFmtId="326" formatCode="&quot;¡Ì&quot;#,##0;[Red]\-&quot;¡Ì&quot;#,##0"/>
    <numFmt numFmtId="327" formatCode="#,##0.00\ &quot;F&quot;;[Red]\-#,##0.00\ &quot;F&quot;"/>
    <numFmt numFmtId="328" formatCode="#,##0.00\ \ "/>
    <numFmt numFmtId="329" formatCode="_(&quot;Z$&quot;* #,##0.00_);_(&quot;Z$&quot;* \(#,##0.00\);_(&quot;Z$&quot;* &quot;-&quot;??_);_(@_)"/>
    <numFmt numFmtId="330" formatCode="#,##0.000000"/>
    <numFmt numFmtId="331" formatCode="_(* #,##0.00000000_);_(* \(#,##0.00000000\);_(* &quot;-&quot;??_);_(@_)"/>
    <numFmt numFmtId="332" formatCode="_-* #,##0.000000\ _₫_-;\-* #,##0.000000\ _₫_-;_-* &quot;-&quot;??????\ _₫_-;_-@_-"/>
    <numFmt numFmtId="333" formatCode="_-* #,##0.0000000\ _₫_-;\-* #,##0.0000000\ _₫_-;_-* &quot;-&quot;??\ _₫_-;_-@_-"/>
  </numFmts>
  <fonts count="217">
    <font>
      <sz val="11"/>
      <color theme="1"/>
      <name val="Calibri"/>
      <family val="2"/>
      <scheme val="minor"/>
    </font>
    <font>
      <sz val="11"/>
      <color theme="1"/>
      <name val="Calibri"/>
      <family val="2"/>
      <scheme val="minor"/>
    </font>
    <font>
      <b/>
      <sz val="11"/>
      <name val="Times New Roman"/>
      <family val="1"/>
    </font>
    <font>
      <sz val="11"/>
      <name val="Times New Roman"/>
      <family val="1"/>
    </font>
    <font>
      <i/>
      <sz val="11"/>
      <name val="Times New Roman"/>
      <family val="1"/>
    </font>
    <font>
      <b/>
      <i/>
      <sz val="11"/>
      <name val="Times New Roman"/>
      <family val="1"/>
    </font>
    <font>
      <sz val="10"/>
      <name val="Arial"/>
      <family val="2"/>
    </font>
    <font>
      <sz val="12"/>
      <color theme="1"/>
      <name val="Times New Roman"/>
      <family val="2"/>
    </font>
    <font>
      <sz val="12"/>
      <name val=".VnTime"/>
      <family val="2"/>
    </font>
    <font>
      <b/>
      <sz val="10"/>
      <name val="Tahoma"/>
      <family val="2"/>
    </font>
    <font>
      <sz val="11"/>
      <color indexed="8"/>
      <name val="Calibri"/>
      <family val="2"/>
    </font>
    <font>
      <b/>
      <sz val="14"/>
      <color theme="1"/>
      <name val="Times New Roman"/>
      <family val="1"/>
    </font>
    <font>
      <sz val="14"/>
      <color theme="1"/>
      <name val="Times New Roman"/>
      <family val="1"/>
    </font>
    <font>
      <i/>
      <sz val="14"/>
      <color theme="1"/>
      <name val="Times New Roman"/>
      <family val="1"/>
    </font>
    <font>
      <b/>
      <sz val="14"/>
      <color indexed="8"/>
      <name val="Times New Roman"/>
      <family val="1"/>
    </font>
    <font>
      <sz val="14"/>
      <color rgb="FF000000"/>
      <name val="Times New Roman"/>
      <family val="1"/>
    </font>
    <font>
      <sz val="14"/>
      <color indexed="8"/>
      <name val="Times New Roman"/>
      <family val="1"/>
    </font>
    <font>
      <sz val="14"/>
      <name val="Times New Roman"/>
      <family val="1"/>
    </font>
    <font>
      <b/>
      <sz val="14"/>
      <color rgb="FF000000"/>
      <name val="Times New Roman"/>
      <family val="1"/>
    </font>
    <font>
      <b/>
      <i/>
      <sz val="14"/>
      <name val="Times New Roman"/>
      <family val="1"/>
    </font>
    <font>
      <b/>
      <sz val="14"/>
      <name val="Times New Roman"/>
      <family val="1"/>
    </font>
    <font>
      <sz val="14"/>
      <color rgb="FFFF0000"/>
      <name val="Times New Roman"/>
      <family val="1"/>
    </font>
    <font>
      <b/>
      <i/>
      <sz val="14"/>
      <color theme="1"/>
      <name val="Times New Roman"/>
      <family val="1"/>
    </font>
    <font>
      <b/>
      <sz val="14"/>
      <color rgb="FFFF0000"/>
      <name val="Times New Roman"/>
      <family val="1"/>
    </font>
    <font>
      <sz val="11"/>
      <color theme="1"/>
      <name val="Calibri"/>
      <family val="2"/>
      <charset val="163"/>
      <scheme val="minor"/>
    </font>
    <font>
      <b/>
      <sz val="12"/>
      <color theme="1"/>
      <name val="Times New Roman"/>
      <family val="1"/>
    </font>
    <font>
      <sz val="13"/>
      <color theme="1"/>
      <name val="Times New Roman"/>
      <family val="1"/>
    </font>
    <font>
      <sz val="11"/>
      <color indexed="8"/>
      <name val="Times New Roman"/>
      <family val="2"/>
    </font>
    <font>
      <sz val="11"/>
      <color rgb="FFFF0000"/>
      <name val="Times New Roman"/>
      <family val="1"/>
    </font>
    <font>
      <sz val="11"/>
      <color theme="1"/>
      <name val="Times New Roman"/>
      <family val="1"/>
    </font>
    <font>
      <b/>
      <i/>
      <sz val="14"/>
      <color rgb="FFFF0000"/>
      <name val="Times New Roman"/>
      <family val="1"/>
    </font>
    <font>
      <i/>
      <sz val="14"/>
      <name val="Times New Roman"/>
      <family val="1"/>
    </font>
    <font>
      <b/>
      <sz val="11"/>
      <color rgb="FFFF0000"/>
      <name val="Times New Roman"/>
      <family val="1"/>
    </font>
    <font>
      <b/>
      <i/>
      <sz val="11"/>
      <color rgb="FFFF0000"/>
      <name val="Times New Roman"/>
      <family val="1"/>
    </font>
    <font>
      <i/>
      <sz val="11"/>
      <color rgb="FFFF0000"/>
      <name val="Times New Roman"/>
      <family val="1"/>
    </font>
    <font>
      <sz val="9"/>
      <color indexed="81"/>
      <name val="Tahoma"/>
      <family val="2"/>
    </font>
    <font>
      <b/>
      <sz val="9"/>
      <color indexed="81"/>
      <name val="Tahoma"/>
      <family val="2"/>
    </font>
    <font>
      <b/>
      <u/>
      <sz val="11"/>
      <name val="Times New Roman"/>
      <family val="1"/>
    </font>
    <font>
      <sz val="12"/>
      <name val="Times New Roman"/>
      <family val="1"/>
    </font>
    <font>
      <sz val="10"/>
      <name val="Times New Roman"/>
      <family val="1"/>
    </font>
    <font>
      <sz val="11"/>
      <color indexed="8"/>
      <name val="Helvetica Neue"/>
    </font>
    <font>
      <b/>
      <sz val="16"/>
      <name val="Times New Roman"/>
      <family val="1"/>
    </font>
    <font>
      <sz val="10"/>
      <name val="Mangal"/>
      <family val="2"/>
    </font>
    <font>
      <sz val="11"/>
      <color indexed="8"/>
      <name val="Arial"/>
      <family val="2"/>
    </font>
    <font>
      <sz val="12"/>
      <color indexed="8"/>
      <name val="Times New Roman"/>
      <family val="1"/>
    </font>
    <font>
      <sz val="11"/>
      <color indexed="8"/>
      <name val="Calibri"/>
      <family val="2"/>
      <charset val="163"/>
    </font>
    <font>
      <sz val="9"/>
      <name val="Arial"/>
      <family val="2"/>
    </font>
    <font>
      <sz val="12"/>
      <name val="VNI-Times"/>
    </font>
    <font>
      <sz val="10"/>
      <color indexed="8"/>
      <name val="MS Sans Serif"/>
      <family val="2"/>
    </font>
    <font>
      <sz val="12"/>
      <name val="돋움체"/>
      <family val="3"/>
      <charset val="129"/>
    </font>
    <font>
      <sz val="12"/>
      <name val="VNtimes new roman"/>
      <family val="2"/>
    </font>
    <font>
      <sz val="10"/>
      <name val=".VnTime"/>
      <family val="2"/>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VNI-Times"/>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4"/>
      <name val="VNTime"/>
    </font>
    <font>
      <sz val="10"/>
      <name val=".VnArial"/>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1"/>
      <color indexed="20"/>
      <name val="Calibri"/>
      <family val="2"/>
      <charset val="163"/>
    </font>
    <font>
      <b/>
      <i/>
      <sz val="14"/>
      <name val="VNTime"/>
      <family val="2"/>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0"/>
      <name val="VNI-Aptima"/>
    </font>
    <font>
      <b/>
      <sz val="8"/>
      <name val="Arial"/>
      <family val="2"/>
    </font>
    <font>
      <sz val="11"/>
      <name val="Tms Rmn"/>
    </font>
    <font>
      <sz val="12"/>
      <color indexed="8"/>
      <name val="Calibri"/>
      <family val="2"/>
    </font>
    <font>
      <u val="singleAccounting"/>
      <sz val="11"/>
      <name val="Times New Roman"/>
      <family val="1"/>
    </font>
    <font>
      <sz val="14"/>
      <color indexed="8"/>
      <name val="Times New Roman"/>
      <family val="2"/>
    </font>
    <font>
      <sz val="11"/>
      <name val="UVnTime"/>
    </font>
    <font>
      <sz val="12"/>
      <color indexed="8"/>
      <name val="Times New Roman"/>
      <family val="2"/>
    </font>
    <font>
      <sz val="10"/>
      <color indexed="8"/>
      <name val="Times New Roman"/>
      <family val="2"/>
    </font>
    <font>
      <sz val="12"/>
      <color indexed="8"/>
      <name val="Times New Roman"/>
      <family val="2"/>
      <charset val="163"/>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b/>
      <i/>
      <sz val="16"/>
      <name val="Helv"/>
      <family val="2"/>
    </font>
    <font>
      <b/>
      <i/>
      <sz val="16"/>
      <name val="Helv"/>
    </font>
    <font>
      <sz val="12"/>
      <name val="바탕체"/>
      <family val="1"/>
      <charset val="129"/>
    </font>
    <font>
      <sz val="13"/>
      <name val="Times New Roman"/>
      <family val="1"/>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sz val="10"/>
      <name val=".VnArial NarrowH"/>
      <family val="2"/>
    </font>
    <font>
      <sz val="12"/>
      <name val="Times New Roman"/>
      <family val="1"/>
      <charset val="163"/>
    </font>
    <font>
      <b/>
      <sz val="12"/>
      <color theme="0"/>
      <name val="Times New Roman"/>
      <family val="2"/>
    </font>
    <font>
      <sz val="11"/>
      <color theme="1"/>
      <name val="Calibri"/>
      <family val="2"/>
    </font>
    <font>
      <sz val="11"/>
      <color theme="1"/>
      <name val="Arial"/>
      <family val="2"/>
    </font>
    <font>
      <sz val="12"/>
      <color theme="1"/>
      <name val="Times New Roman"/>
      <family val="1"/>
    </font>
    <font>
      <sz val="9"/>
      <color theme="1"/>
      <name val="Times New Roman"/>
      <family val="2"/>
      <charset val="163"/>
    </font>
    <font>
      <sz val="11"/>
      <color rgb="FF000000"/>
      <name val="Arial"/>
      <family val="2"/>
    </font>
    <font>
      <sz val="12"/>
      <color theme="1"/>
      <name val="Times New Roman"/>
      <family val="2"/>
      <charset val="163"/>
    </font>
    <font>
      <sz val="12"/>
      <color theme="1"/>
      <name val="Calibri"/>
      <family val="2"/>
      <scheme val="minor"/>
    </font>
    <font>
      <b/>
      <sz val="12"/>
      <color rgb="FF3F3F3F"/>
      <name val="Times New Roman"/>
      <family val="2"/>
    </font>
    <font>
      <i/>
      <sz val="12"/>
      <color theme="1"/>
      <name val="Times New Roman"/>
      <family val="1"/>
    </font>
    <font>
      <b/>
      <sz val="13"/>
      <color theme="1"/>
      <name val="Times New Roman"/>
      <family val="1"/>
    </font>
    <font>
      <sz val="11"/>
      <color theme="0"/>
      <name val="Calibri"/>
      <family val="2"/>
      <scheme val="minor"/>
    </font>
  </fonts>
  <fills count="5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7030A0"/>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15"/>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hair">
        <color auto="1"/>
      </bottom>
      <diagonal/>
    </border>
    <border>
      <left/>
      <right style="thin">
        <color indexed="64"/>
      </right>
      <top style="thin">
        <color indexed="64"/>
      </top>
      <bottom style="thin">
        <color indexed="64"/>
      </bottom>
      <diagonal/>
    </border>
  </borders>
  <cellStyleXfs count="5318">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6" fillId="0" borderId="0"/>
    <xf numFmtId="0" fontId="7"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7" fillId="0" borderId="0"/>
    <xf numFmtId="0" fontId="8" fillId="0" borderId="0"/>
    <xf numFmtId="0" fontId="9" fillId="0" borderId="0"/>
    <xf numFmtId="0" fontId="8" fillId="0" borderId="0"/>
    <xf numFmtId="0" fontId="8" fillId="0" borderId="0"/>
    <xf numFmtId="0" fontId="8" fillId="0" borderId="0"/>
    <xf numFmtId="0" fontId="7" fillId="0" borderId="0"/>
    <xf numFmtId="0" fontId="6" fillId="0" borderId="0"/>
    <xf numFmtId="43" fontId="6" fillId="0" borderId="0" applyFont="0" applyFill="0" applyBorder="0" applyAlignment="0" applyProtection="0"/>
    <xf numFmtId="0" fontId="10" fillId="0" borderId="0"/>
    <xf numFmtId="0" fontId="8" fillId="0" borderId="0"/>
    <xf numFmtId="0" fontId="10" fillId="0" borderId="0"/>
    <xf numFmtId="0" fontId="8" fillId="0" borderId="0"/>
    <xf numFmtId="171" fontId="1" fillId="0" borderId="0" applyFont="0" applyFill="0" applyBorder="0" applyAlignment="0" applyProtection="0"/>
    <xf numFmtId="0" fontId="24" fillId="0" borderId="0"/>
    <xf numFmtId="0" fontId="8" fillId="0" borderId="0"/>
    <xf numFmtId="0" fontId="1" fillId="0" borderId="0"/>
    <xf numFmtId="0" fontId="8" fillId="0" borderId="0"/>
    <xf numFmtId="167" fontId="1" fillId="0" borderId="0" applyFont="0" applyFill="0" applyBorder="0" applyAlignment="0" applyProtection="0"/>
    <xf numFmtId="0" fontId="1" fillId="0" borderId="0"/>
    <xf numFmtId="0" fontId="1" fillId="0" borderId="0"/>
    <xf numFmtId="0" fontId="6" fillId="0" borderId="0"/>
    <xf numFmtId="0" fontId="6" fillId="0" borderId="0"/>
    <xf numFmtId="0" fontId="1" fillId="0" borderId="0"/>
    <xf numFmtId="0" fontId="6" fillId="0" borderId="0"/>
    <xf numFmtId="0" fontId="1" fillId="0" borderId="0"/>
    <xf numFmtId="0" fontId="6" fillId="0" borderId="0"/>
    <xf numFmtId="0" fontId="7" fillId="0" borderId="0"/>
    <xf numFmtId="172" fontId="24" fillId="0" borderId="0" applyFont="0" applyFill="0" applyBorder="0" applyAlignment="0" applyProtection="0"/>
    <xf numFmtId="0" fontId="1" fillId="0" borderId="0"/>
    <xf numFmtId="43" fontId="27" fillId="0" borderId="0" applyFont="0" applyFill="0" applyBorder="0" applyAlignment="0" applyProtection="0"/>
    <xf numFmtId="0" fontId="6" fillId="0" borderId="0"/>
    <xf numFmtId="0" fontId="1" fillId="0" borderId="0"/>
    <xf numFmtId="198" fontId="47"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Protection="0"/>
    <xf numFmtId="0" fontId="48" fillId="0" borderId="0"/>
    <xf numFmtId="3" fontId="49" fillId="0" borderId="2"/>
    <xf numFmtId="3" fontId="49" fillId="0" borderId="2"/>
    <xf numFmtId="169" fontId="50" fillId="0" borderId="21" applyFont="0" applyBorder="0"/>
    <xf numFmtId="169" fontId="46" fillId="0" borderId="0" applyProtection="0"/>
    <xf numFmtId="169" fontId="50" fillId="0" borderId="21" applyFont="0" applyBorder="0"/>
    <xf numFmtId="169" fontId="50" fillId="0" borderId="21" applyFont="0" applyBorder="0"/>
    <xf numFmtId="0" fontId="51" fillId="0" borderId="0"/>
    <xf numFmtId="199" fontId="8" fillId="0" borderId="0" applyFont="0" applyFill="0" applyBorder="0" applyAlignment="0" applyProtection="0"/>
    <xf numFmtId="0" fontId="52" fillId="0" borderId="0" applyFont="0" applyFill="0" applyBorder="0" applyAlignment="0" applyProtection="0"/>
    <xf numFmtId="200" fontId="8" fillId="0" borderId="0" applyFont="0" applyFill="0" applyBorder="0" applyAlignment="0" applyProtection="0"/>
    <xf numFmtId="201" fontId="53" fillId="0" borderId="0" applyFont="0" applyFill="0" applyBorder="0" applyAlignment="0" applyProtection="0"/>
    <xf numFmtId="202" fontId="53" fillId="0" borderId="0" applyFont="0" applyFill="0" applyBorder="0" applyAlignment="0" applyProtection="0"/>
    <xf numFmtId="202" fontId="53" fillId="0" borderId="0" applyFont="0" applyFill="0" applyBorder="0" applyAlignment="0" applyProtection="0"/>
    <xf numFmtId="202" fontId="53" fillId="0" borderId="0" applyFont="0" applyFill="0" applyBorder="0" applyAlignment="0" applyProtection="0"/>
    <xf numFmtId="202" fontId="53" fillId="0" borderId="0" applyFont="0" applyFill="0" applyBorder="0" applyAlignment="0" applyProtection="0"/>
    <xf numFmtId="202" fontId="53" fillId="0" borderId="0" applyFont="0" applyFill="0" applyBorder="0" applyAlignment="0" applyProtection="0"/>
    <xf numFmtId="202" fontId="5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54" fillId="0" borderId="0" applyFont="0" applyFill="0" applyBorder="0" applyAlignment="0" applyProtection="0"/>
    <xf numFmtId="0" fontId="55" fillId="0" borderId="22"/>
    <xf numFmtId="203" fontId="51" fillId="0" borderId="0" applyFont="0" applyFill="0" applyBorder="0" applyAlignment="0" applyProtection="0"/>
    <xf numFmtId="171" fontId="56" fillId="0" borderId="0" applyFont="0" applyFill="0" applyBorder="0" applyAlignment="0" applyProtection="0"/>
    <xf numFmtId="184" fontId="56" fillId="0" borderId="0" applyFont="0" applyFill="0" applyBorder="0" applyAlignment="0" applyProtection="0"/>
    <xf numFmtId="204" fontId="57" fillId="0" borderId="0" applyFont="0" applyFill="0" applyBorder="0" applyAlignment="0" applyProtection="0"/>
    <xf numFmtId="0" fontId="58"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Protection="0"/>
    <xf numFmtId="0" fontId="59" fillId="0" borderId="0"/>
    <xf numFmtId="0" fontId="6" fillId="0" borderId="0" applyProtection="0"/>
    <xf numFmtId="0" fontId="6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Protection="0"/>
    <xf numFmtId="0" fontId="61" fillId="0" borderId="0" applyNumberFormat="0" applyFill="0" applyBorder="0" applyProtection="0">
      <alignment vertical="center"/>
    </xf>
    <xf numFmtId="171" fontId="8" fillId="0" borderId="0" applyFont="0" applyFill="0" applyBorder="0" applyAlignment="0" applyProtection="0"/>
    <xf numFmtId="205" fontId="62" fillId="0" borderId="0" applyFont="0" applyFill="0" applyBorder="0" applyAlignment="0" applyProtection="0"/>
    <xf numFmtId="187" fontId="47" fillId="0" borderId="0" applyFont="0" applyFill="0" applyBorder="0" applyAlignment="0" applyProtection="0"/>
    <xf numFmtId="42" fontId="62"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06" fontId="8" fillId="0" borderId="0" applyFont="0" applyFill="0" applyBorder="0" applyAlignment="0" applyProtection="0"/>
    <xf numFmtId="42" fontId="62" fillId="0" borderId="0" applyFont="0" applyFill="0" applyBorder="0" applyAlignment="0" applyProtection="0"/>
    <xf numFmtId="205" fontId="62" fillId="0" borderId="0" applyFont="0" applyFill="0" applyBorder="0" applyAlignment="0" applyProtection="0"/>
    <xf numFmtId="42" fontId="62"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3" fillId="0" borderId="0"/>
    <xf numFmtId="42" fontId="62" fillId="0" borderId="0" applyFont="0" applyFill="0" applyBorder="0" applyAlignment="0" applyProtection="0"/>
    <xf numFmtId="205" fontId="62" fillId="0" borderId="0" applyFont="0" applyFill="0" applyBorder="0" applyAlignment="0" applyProtection="0"/>
    <xf numFmtId="0" fontId="63" fillId="0" borderId="0"/>
    <xf numFmtId="42" fontId="62" fillId="0" borderId="0" applyFont="0" applyFill="0" applyBorder="0" applyAlignment="0" applyProtection="0"/>
    <xf numFmtId="0" fontId="64" fillId="0" borderId="0">
      <alignment vertical="top"/>
    </xf>
    <xf numFmtId="0" fontId="65" fillId="0" borderId="0">
      <alignment vertical="top"/>
    </xf>
    <xf numFmtId="0" fontId="65" fillId="0" borderId="0">
      <alignment vertical="top"/>
    </xf>
    <xf numFmtId="0" fontId="51" fillId="0" borderId="0" applyNumberFormat="0" applyFill="0" applyBorder="0" applyAlignment="0" applyProtection="0"/>
    <xf numFmtId="207" fontId="47" fillId="0" borderId="0" applyFont="0" applyFill="0" applyBorder="0" applyAlignment="0" applyProtection="0"/>
    <xf numFmtId="0" fontId="51" fillId="0" borderId="0" applyNumberFormat="0" applyFill="0" applyBorder="0" applyAlignment="0" applyProtection="0"/>
    <xf numFmtId="42" fontId="62" fillId="0" borderId="0" applyFont="0" applyFill="0" applyBorder="0" applyAlignment="0" applyProtection="0"/>
    <xf numFmtId="0" fontId="63" fillId="0" borderId="0"/>
    <xf numFmtId="208" fontId="62" fillId="0" borderId="0" applyFont="0" applyFill="0" applyBorder="0" applyAlignment="0" applyProtection="0"/>
    <xf numFmtId="209" fontId="62" fillId="0" borderId="0" applyFont="0" applyFill="0" applyBorder="0" applyAlignment="0" applyProtection="0"/>
    <xf numFmtId="209" fontId="62"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42" fontId="62" fillId="0" borderId="0" applyFont="0" applyFill="0" applyBorder="0" applyAlignment="0" applyProtection="0"/>
    <xf numFmtId="0" fontId="63" fillId="0" borderId="0"/>
    <xf numFmtId="205" fontId="62" fillId="0" borderId="0" applyFont="0" applyFill="0" applyBorder="0" applyAlignment="0" applyProtection="0"/>
    <xf numFmtId="0" fontId="63"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3" fillId="0" borderId="0"/>
    <xf numFmtId="42" fontId="62" fillId="0" borderId="0" applyFont="0" applyFill="0" applyBorder="0" applyAlignment="0" applyProtection="0"/>
    <xf numFmtId="42" fontId="62"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3"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3" fillId="0" borderId="0"/>
    <xf numFmtId="42" fontId="62" fillId="0" borderId="0" applyFont="0" applyFill="0" applyBorder="0" applyAlignment="0" applyProtection="0"/>
    <xf numFmtId="0" fontId="63"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3" fillId="0" borderId="0"/>
    <xf numFmtId="0" fontId="63" fillId="0" borderId="0"/>
    <xf numFmtId="0" fontId="63" fillId="0" borderId="0"/>
    <xf numFmtId="210" fontId="62" fillId="0" borderId="0" applyFont="0" applyFill="0" applyBorder="0" applyAlignment="0" applyProtection="0"/>
    <xf numFmtId="208"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0" fontId="66" fillId="0" borderId="0" applyFont="0" applyFill="0" applyBorder="0" applyAlignment="0" applyProtection="0"/>
    <xf numFmtId="0" fontId="66" fillId="0" borderId="0" applyFont="0" applyFill="0" applyBorder="0" applyAlignment="0" applyProtection="0"/>
    <xf numFmtId="0" fontId="63"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42" fontId="62" fillId="0" borderId="0" applyFont="0" applyFill="0" applyBorder="0" applyAlignment="0" applyProtection="0"/>
    <xf numFmtId="0" fontId="63" fillId="0" borderId="0"/>
    <xf numFmtId="0" fontId="63" fillId="0" borderId="0"/>
    <xf numFmtId="205" fontId="62" fillId="0" borderId="0" applyFont="0" applyFill="0" applyBorder="0" applyAlignment="0" applyProtection="0"/>
    <xf numFmtId="0" fontId="63" fillId="0" borderId="0"/>
    <xf numFmtId="0" fontId="66" fillId="0" borderId="0"/>
    <xf numFmtId="0" fontId="63" fillId="0" borderId="0"/>
    <xf numFmtId="0" fontId="63" fillId="0" borderId="0"/>
    <xf numFmtId="187" fontId="47" fillId="0" borderId="0" applyFont="0" applyFill="0" applyBorder="0" applyAlignment="0" applyProtection="0"/>
    <xf numFmtId="42" fontId="62" fillId="0" borderId="0" applyFont="0" applyFill="0" applyBorder="0" applyAlignment="0" applyProtection="0"/>
    <xf numFmtId="208" fontId="62" fillId="0" borderId="0" applyFont="0" applyFill="0" applyBorder="0" applyAlignment="0" applyProtection="0"/>
    <xf numFmtId="42" fontId="62" fillId="0" borderId="0" applyFont="0" applyFill="0" applyBorder="0" applyAlignment="0" applyProtection="0"/>
    <xf numFmtId="187" fontId="47" fillId="0" borderId="0" applyFont="0" applyFill="0" applyBorder="0" applyAlignment="0" applyProtection="0"/>
    <xf numFmtId="211"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211"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98" fontId="47" fillId="0" borderId="0" applyFont="0" applyFill="0" applyBorder="0" applyAlignment="0" applyProtection="0"/>
    <xf numFmtId="184" fontId="47" fillId="0" borderId="0" applyFont="0" applyFill="0" applyBorder="0" applyAlignment="0" applyProtection="0"/>
    <xf numFmtId="199" fontId="62" fillId="0" borderId="0" applyFont="0" applyFill="0" applyBorder="0" applyAlignment="0" applyProtection="0"/>
    <xf numFmtId="172"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67" fontId="62" fillId="0" borderId="0" applyFont="0" applyFill="0" applyBorder="0" applyAlignment="0" applyProtection="0"/>
    <xf numFmtId="212"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189" fontId="62" fillId="0" borderId="0" applyFont="0" applyFill="0" applyBorder="0" applyAlignment="0" applyProtection="0"/>
    <xf numFmtId="167" fontId="62" fillId="0" borderId="0" applyFont="0" applyFill="0" applyBorder="0" applyAlignment="0" applyProtection="0"/>
    <xf numFmtId="213"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89" fontId="62" fillId="0" borderId="0" applyFont="0" applyFill="0" applyBorder="0" applyAlignment="0" applyProtection="0"/>
    <xf numFmtId="43" fontId="62" fillId="0" borderId="0" applyFont="0" applyFill="0" applyBorder="0" applyAlignment="0" applyProtection="0"/>
    <xf numFmtId="212"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84" fontId="62" fillId="0" borderId="0" applyFont="0" applyFill="0" applyBorder="0" applyAlignment="0" applyProtection="0"/>
    <xf numFmtId="167" fontId="62" fillId="0" borderId="0" applyFont="0" applyFill="0" applyBorder="0" applyAlignment="0" applyProtection="0"/>
    <xf numFmtId="199" fontId="62" fillId="0" borderId="0" applyFont="0" applyFill="0" applyBorder="0" applyAlignment="0" applyProtection="0"/>
    <xf numFmtId="0"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0"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214"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67"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214" fontId="62" fillId="0" borderId="0" applyFont="0" applyFill="0" applyBorder="0" applyAlignment="0" applyProtection="0"/>
    <xf numFmtId="167" fontId="62"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214" fontId="62" fillId="0" borderId="0" applyFont="0" applyFill="0" applyBorder="0" applyAlignment="0" applyProtection="0"/>
    <xf numFmtId="189" fontId="62" fillId="0" borderId="0" applyFont="0" applyFill="0" applyBorder="0" applyAlignment="0" applyProtection="0"/>
    <xf numFmtId="43"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215" fontId="62" fillId="0" borderId="0" applyFont="0" applyFill="0" applyBorder="0" applyAlignment="0" applyProtection="0"/>
    <xf numFmtId="216" fontId="62"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171" fontId="47" fillId="0" borderId="0" applyFont="0" applyFill="0" applyBorder="0" applyAlignment="0" applyProtection="0"/>
    <xf numFmtId="42" fontId="62" fillId="0" borderId="0" applyFont="0" applyFill="0" applyBorder="0" applyAlignment="0" applyProtection="0"/>
    <xf numFmtId="208" fontId="62" fillId="0" borderId="0" applyFont="0" applyFill="0" applyBorder="0" applyAlignment="0" applyProtection="0"/>
    <xf numFmtId="42" fontId="62" fillId="0" borderId="0" applyFont="0" applyFill="0" applyBorder="0" applyAlignment="0" applyProtection="0"/>
    <xf numFmtId="205"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207" fontId="47" fillId="0" borderId="0" applyFont="0" applyFill="0" applyBorder="0" applyAlignment="0" applyProtection="0"/>
    <xf numFmtId="207" fontId="47" fillId="0" borderId="0" applyFont="0" applyFill="0" applyBorder="0" applyAlignment="0" applyProtection="0"/>
    <xf numFmtId="208" fontId="62" fillId="0" borderId="0" applyFont="0" applyFill="0" applyBorder="0" applyAlignment="0" applyProtection="0"/>
    <xf numFmtId="209" fontId="62" fillId="0" borderId="0" applyFont="0" applyFill="0" applyBorder="0" applyAlignment="0" applyProtection="0"/>
    <xf numFmtId="209" fontId="62" fillId="0" borderId="0" applyFont="0" applyFill="0" applyBorder="0" applyAlignment="0" applyProtection="0"/>
    <xf numFmtId="209" fontId="62" fillId="0" borderId="0" applyFont="0" applyFill="0" applyBorder="0" applyAlignment="0" applyProtection="0"/>
    <xf numFmtId="205"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05" fontId="62" fillId="0" borderId="0" applyFont="0" applyFill="0" applyBorder="0" applyAlignment="0" applyProtection="0"/>
    <xf numFmtId="42" fontId="62" fillId="0" borderId="0" applyFont="0" applyFill="0" applyBorder="0" applyAlignment="0" applyProtection="0"/>
    <xf numFmtId="208"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20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07" fontId="47" fillId="0" borderId="0" applyFont="0" applyFill="0" applyBorder="0" applyAlignment="0" applyProtection="0"/>
    <xf numFmtId="218" fontId="67" fillId="0" borderId="0" applyFont="0" applyFill="0" applyBorder="0" applyAlignment="0" applyProtection="0"/>
    <xf numFmtId="219"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07" fontId="62" fillId="0" borderId="0" applyFont="0" applyFill="0" applyBorder="0" applyAlignment="0" applyProtection="0"/>
    <xf numFmtId="220"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205" fontId="62" fillId="0" borderId="0" applyFont="0" applyFill="0" applyBorder="0" applyAlignment="0" applyProtection="0"/>
    <xf numFmtId="42" fontId="62" fillId="0" borderId="0" applyFont="0" applyFill="0" applyBorder="0" applyAlignment="0" applyProtection="0"/>
    <xf numFmtId="199" fontId="62" fillId="0" borderId="0" applyFont="0" applyFill="0" applyBorder="0" applyAlignment="0" applyProtection="0"/>
    <xf numFmtId="172"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67" fontId="62" fillId="0" borderId="0" applyFont="0" applyFill="0" applyBorder="0" applyAlignment="0" applyProtection="0"/>
    <xf numFmtId="212"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189" fontId="62" fillId="0" borderId="0" applyFont="0" applyFill="0" applyBorder="0" applyAlignment="0" applyProtection="0"/>
    <xf numFmtId="167" fontId="62" fillId="0" borderId="0" applyFont="0" applyFill="0" applyBorder="0" applyAlignment="0" applyProtection="0"/>
    <xf numFmtId="213"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89" fontId="62" fillId="0" borderId="0" applyFont="0" applyFill="0" applyBorder="0" applyAlignment="0" applyProtection="0"/>
    <xf numFmtId="43" fontId="62" fillId="0" borderId="0" applyFont="0" applyFill="0" applyBorder="0" applyAlignment="0" applyProtection="0"/>
    <xf numFmtId="212"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84" fontId="62" fillId="0" borderId="0" applyFont="0" applyFill="0" applyBorder="0" applyAlignment="0" applyProtection="0"/>
    <xf numFmtId="167" fontId="62" fillId="0" borderId="0" applyFont="0" applyFill="0" applyBorder="0" applyAlignment="0" applyProtection="0"/>
    <xf numFmtId="199" fontId="62" fillId="0" borderId="0" applyFont="0" applyFill="0" applyBorder="0" applyAlignment="0" applyProtection="0"/>
    <xf numFmtId="0"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0"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214"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67"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214" fontId="62" fillId="0" borderId="0" applyFont="0" applyFill="0" applyBorder="0" applyAlignment="0" applyProtection="0"/>
    <xf numFmtId="167" fontId="62"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214" fontId="62" fillId="0" borderId="0" applyFont="0" applyFill="0" applyBorder="0" applyAlignment="0" applyProtection="0"/>
    <xf numFmtId="189" fontId="62" fillId="0" borderId="0" applyFont="0" applyFill="0" applyBorder="0" applyAlignment="0" applyProtection="0"/>
    <xf numFmtId="43"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215" fontId="62" fillId="0" borderId="0" applyFont="0" applyFill="0" applyBorder="0" applyAlignment="0" applyProtection="0"/>
    <xf numFmtId="216" fontId="62" fillId="0" borderId="0" applyFont="0" applyFill="0" applyBorder="0" applyAlignment="0" applyProtection="0"/>
    <xf numFmtId="184" fontId="47"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206" fontId="62" fillId="0" borderId="0" applyFont="0" applyFill="0" applyBorder="0" applyAlignment="0" applyProtection="0"/>
    <xf numFmtId="221"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165" fontId="62" fillId="0" borderId="0" applyFont="0" applyFill="0" applyBorder="0" applyAlignment="0" applyProtection="0"/>
    <xf numFmtId="222" fontId="62" fillId="0" borderId="0" applyFont="0" applyFill="0" applyBorder="0" applyAlignment="0" applyProtection="0"/>
    <xf numFmtId="223" fontId="62" fillId="0" borderId="0" applyFont="0" applyFill="0" applyBorder="0" applyAlignment="0" applyProtection="0"/>
    <xf numFmtId="206" fontId="62" fillId="0" borderId="0" applyFont="0" applyFill="0" applyBorder="0" applyAlignment="0" applyProtection="0"/>
    <xf numFmtId="223" fontId="62" fillId="0" borderId="0" applyFont="0" applyFill="0" applyBorder="0" applyAlignment="0" applyProtection="0"/>
    <xf numFmtId="165" fontId="62" fillId="0" borderId="0" applyFont="0" applyFill="0" applyBorder="0" applyAlignment="0" applyProtection="0"/>
    <xf numFmtId="224"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22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223" fontId="62" fillId="0" borderId="0" applyFont="0" applyFill="0" applyBorder="0" applyAlignment="0" applyProtection="0"/>
    <xf numFmtId="41" fontId="62" fillId="0" borderId="0" applyFont="0" applyFill="0" applyBorder="0" applyAlignment="0" applyProtection="0"/>
    <xf numFmtId="222" fontId="62" fillId="0" borderId="0" applyFont="0" applyFill="0" applyBorder="0" applyAlignment="0" applyProtection="0"/>
    <xf numFmtId="165" fontId="62" fillId="0" borderId="0" applyFont="0" applyFill="0" applyBorder="0" applyAlignment="0" applyProtection="0"/>
    <xf numFmtId="165" fontId="62" fillId="0" borderId="0" applyFont="0" applyFill="0" applyBorder="0" applyAlignment="0" applyProtection="0"/>
    <xf numFmtId="165" fontId="62" fillId="0" borderId="0" applyFont="0" applyFill="0" applyBorder="0" applyAlignment="0" applyProtection="0"/>
    <xf numFmtId="165" fontId="62" fillId="0" borderId="0" applyFont="0" applyFill="0" applyBorder="0" applyAlignment="0" applyProtection="0"/>
    <xf numFmtId="171" fontId="62" fillId="0" borderId="0" applyFont="0" applyFill="0" applyBorder="0" applyAlignment="0" applyProtection="0"/>
    <xf numFmtId="165" fontId="62" fillId="0" borderId="0" applyFont="0" applyFill="0" applyBorder="0" applyAlignment="0" applyProtection="0"/>
    <xf numFmtId="206" fontId="62" fillId="0" borderId="0" applyFont="0" applyFill="0" applyBorder="0" applyAlignment="0" applyProtection="0"/>
    <xf numFmtId="206" fontId="47"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224" fontId="62" fillId="0" borderId="0" applyFont="0" applyFill="0" applyBorder="0" applyAlignment="0" applyProtection="0"/>
    <xf numFmtId="206" fontId="47" fillId="0" borderId="0" applyFont="0" applyFill="0" applyBorder="0" applyAlignment="0" applyProtection="0"/>
    <xf numFmtId="206" fontId="62" fillId="0" borderId="0" applyFont="0" applyFill="0" applyBorder="0" applyAlignment="0" applyProtection="0"/>
    <xf numFmtId="226" fontId="62" fillId="0" borderId="0" applyFont="0" applyFill="0" applyBorder="0" applyAlignment="0" applyProtection="0"/>
    <xf numFmtId="206" fontId="62" fillId="0" borderId="0" applyFont="0" applyFill="0" applyBorder="0" applyAlignment="0" applyProtection="0"/>
    <xf numFmtId="225"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165"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225" fontId="62" fillId="0" borderId="0" applyFont="0" applyFill="0" applyBorder="0" applyAlignment="0" applyProtection="0"/>
    <xf numFmtId="165" fontId="62" fillId="0" borderId="0" applyFont="0" applyFill="0" applyBorder="0" applyAlignment="0" applyProtection="0"/>
    <xf numFmtId="225"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224" fontId="62" fillId="0" borderId="0" applyFont="0" applyFill="0" applyBorder="0" applyAlignment="0" applyProtection="0"/>
    <xf numFmtId="206"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225" fontId="62" fillId="0" borderId="0" applyFont="0" applyFill="0" applyBorder="0" applyAlignment="0" applyProtection="0"/>
    <xf numFmtId="223" fontId="62" fillId="0" borderId="0" applyFont="0" applyFill="0" applyBorder="0" applyAlignment="0" applyProtection="0"/>
    <xf numFmtId="41" fontId="62" fillId="0" borderId="0" applyFont="0" applyFill="0" applyBorder="0" applyAlignment="0" applyProtection="0"/>
    <xf numFmtId="223" fontId="62" fillId="0" borderId="0" applyFont="0" applyFill="0" applyBorder="0" applyAlignment="0" applyProtection="0"/>
    <xf numFmtId="206" fontId="62" fillId="0" borderId="0" applyFont="0" applyFill="0" applyBorder="0" applyAlignment="0" applyProtection="0"/>
    <xf numFmtId="223" fontId="62" fillId="0" borderId="0" applyFont="0" applyFill="0" applyBorder="0" applyAlignment="0" applyProtection="0"/>
    <xf numFmtId="206" fontId="62" fillId="0" borderId="0" applyFont="0" applyFill="0" applyBorder="0" applyAlignment="0" applyProtection="0"/>
    <xf numFmtId="227" fontId="62" fillId="0" borderId="0" applyFont="0" applyFill="0" applyBorder="0" applyAlignment="0" applyProtection="0"/>
    <xf numFmtId="228" fontId="62" fillId="0" borderId="0" applyFont="0" applyFill="0" applyBorder="0" applyAlignment="0" applyProtection="0"/>
    <xf numFmtId="22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224" fontId="62" fillId="0" borderId="0" applyFont="0" applyFill="0" applyBorder="0" applyAlignment="0" applyProtection="0"/>
    <xf numFmtId="206" fontId="62" fillId="0" borderId="0" applyFont="0" applyFill="0" applyBorder="0" applyAlignment="0" applyProtection="0"/>
    <xf numFmtId="205"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207" fontId="47" fillId="0" borderId="0" applyFont="0" applyFill="0" applyBorder="0" applyAlignment="0" applyProtection="0"/>
    <xf numFmtId="207" fontId="47" fillId="0" borderId="0" applyFont="0" applyFill="0" applyBorder="0" applyAlignment="0" applyProtection="0"/>
    <xf numFmtId="208" fontId="62" fillId="0" borderId="0" applyFont="0" applyFill="0" applyBorder="0" applyAlignment="0" applyProtection="0"/>
    <xf numFmtId="209" fontId="62" fillId="0" borderId="0" applyFont="0" applyFill="0" applyBorder="0" applyAlignment="0" applyProtection="0"/>
    <xf numFmtId="209" fontId="62" fillId="0" borderId="0" applyFont="0" applyFill="0" applyBorder="0" applyAlignment="0" applyProtection="0"/>
    <xf numFmtId="209" fontId="62" fillId="0" borderId="0" applyFont="0" applyFill="0" applyBorder="0" applyAlignment="0" applyProtection="0"/>
    <xf numFmtId="205"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05" fontId="62" fillId="0" borderId="0" applyFont="0" applyFill="0" applyBorder="0" applyAlignment="0" applyProtection="0"/>
    <xf numFmtId="42" fontId="62" fillId="0" borderId="0" applyFont="0" applyFill="0" applyBorder="0" applyAlignment="0" applyProtection="0"/>
    <xf numFmtId="208"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20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07" fontId="47" fillId="0" borderId="0" applyFont="0" applyFill="0" applyBorder="0" applyAlignment="0" applyProtection="0"/>
    <xf numFmtId="218" fontId="67" fillId="0" borderId="0" applyFont="0" applyFill="0" applyBorder="0" applyAlignment="0" applyProtection="0"/>
    <xf numFmtId="219"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07" fontId="62" fillId="0" borderId="0" applyFont="0" applyFill="0" applyBorder="0" applyAlignment="0" applyProtection="0"/>
    <xf numFmtId="220" fontId="62" fillId="0" borderId="0" applyFont="0" applyFill="0" applyBorder="0" applyAlignment="0" applyProtection="0"/>
    <xf numFmtId="171" fontId="47"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205" fontId="62" fillId="0" borderId="0" applyFont="0" applyFill="0" applyBorder="0" applyAlignment="0" applyProtection="0"/>
    <xf numFmtId="42" fontId="62" fillId="0" borderId="0" applyFont="0" applyFill="0" applyBorder="0" applyAlignment="0" applyProtection="0"/>
    <xf numFmtId="184" fontId="47" fillId="0" borderId="0" applyFont="0" applyFill="0" applyBorder="0" applyAlignment="0" applyProtection="0"/>
    <xf numFmtId="206" fontId="62" fillId="0" borderId="0" applyFont="0" applyFill="0" applyBorder="0" applyAlignment="0" applyProtection="0"/>
    <xf numFmtId="221"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165" fontId="62" fillId="0" borderId="0" applyFont="0" applyFill="0" applyBorder="0" applyAlignment="0" applyProtection="0"/>
    <xf numFmtId="222" fontId="62" fillId="0" borderId="0" applyFont="0" applyFill="0" applyBorder="0" applyAlignment="0" applyProtection="0"/>
    <xf numFmtId="223" fontId="62" fillId="0" borderId="0" applyFont="0" applyFill="0" applyBorder="0" applyAlignment="0" applyProtection="0"/>
    <xf numFmtId="206" fontId="62" fillId="0" borderId="0" applyFont="0" applyFill="0" applyBorder="0" applyAlignment="0" applyProtection="0"/>
    <xf numFmtId="223" fontId="62" fillId="0" borderId="0" applyFont="0" applyFill="0" applyBorder="0" applyAlignment="0" applyProtection="0"/>
    <xf numFmtId="165" fontId="62" fillId="0" borderId="0" applyFont="0" applyFill="0" applyBorder="0" applyAlignment="0" applyProtection="0"/>
    <xf numFmtId="224"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22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223" fontId="62" fillId="0" borderId="0" applyFont="0" applyFill="0" applyBorder="0" applyAlignment="0" applyProtection="0"/>
    <xf numFmtId="41" fontId="62" fillId="0" borderId="0" applyFont="0" applyFill="0" applyBorder="0" applyAlignment="0" applyProtection="0"/>
    <xf numFmtId="222" fontId="62" fillId="0" borderId="0" applyFont="0" applyFill="0" applyBorder="0" applyAlignment="0" applyProtection="0"/>
    <xf numFmtId="165" fontId="62" fillId="0" borderId="0" applyFont="0" applyFill="0" applyBorder="0" applyAlignment="0" applyProtection="0"/>
    <xf numFmtId="165" fontId="62" fillId="0" borderId="0" applyFont="0" applyFill="0" applyBorder="0" applyAlignment="0" applyProtection="0"/>
    <xf numFmtId="165" fontId="62" fillId="0" borderId="0" applyFont="0" applyFill="0" applyBorder="0" applyAlignment="0" applyProtection="0"/>
    <xf numFmtId="165" fontId="62" fillId="0" borderId="0" applyFont="0" applyFill="0" applyBorder="0" applyAlignment="0" applyProtection="0"/>
    <xf numFmtId="171" fontId="62" fillId="0" borderId="0" applyFont="0" applyFill="0" applyBorder="0" applyAlignment="0" applyProtection="0"/>
    <xf numFmtId="165" fontId="62" fillId="0" borderId="0" applyFont="0" applyFill="0" applyBorder="0" applyAlignment="0" applyProtection="0"/>
    <xf numFmtId="206" fontId="62" fillId="0" borderId="0" applyFont="0" applyFill="0" applyBorder="0" applyAlignment="0" applyProtection="0"/>
    <xf numFmtId="206" fontId="47"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224" fontId="62" fillId="0" borderId="0" applyFont="0" applyFill="0" applyBorder="0" applyAlignment="0" applyProtection="0"/>
    <xf numFmtId="206" fontId="47" fillId="0" borderId="0" applyFont="0" applyFill="0" applyBorder="0" applyAlignment="0" applyProtection="0"/>
    <xf numFmtId="206" fontId="62" fillId="0" borderId="0" applyFont="0" applyFill="0" applyBorder="0" applyAlignment="0" applyProtection="0"/>
    <xf numFmtId="226" fontId="62" fillId="0" borderId="0" applyFont="0" applyFill="0" applyBorder="0" applyAlignment="0" applyProtection="0"/>
    <xf numFmtId="206" fontId="62" fillId="0" borderId="0" applyFont="0" applyFill="0" applyBorder="0" applyAlignment="0" applyProtection="0"/>
    <xf numFmtId="225"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165"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225" fontId="62" fillId="0" borderId="0" applyFont="0" applyFill="0" applyBorder="0" applyAlignment="0" applyProtection="0"/>
    <xf numFmtId="165" fontId="62" fillId="0" borderId="0" applyFont="0" applyFill="0" applyBorder="0" applyAlignment="0" applyProtection="0"/>
    <xf numFmtId="225"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224" fontId="62" fillId="0" borderId="0" applyFont="0" applyFill="0" applyBorder="0" applyAlignment="0" applyProtection="0"/>
    <xf numFmtId="206"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225" fontId="62" fillId="0" borderId="0" applyFont="0" applyFill="0" applyBorder="0" applyAlignment="0" applyProtection="0"/>
    <xf numFmtId="223" fontId="62" fillId="0" borderId="0" applyFont="0" applyFill="0" applyBorder="0" applyAlignment="0" applyProtection="0"/>
    <xf numFmtId="41" fontId="62" fillId="0" borderId="0" applyFont="0" applyFill="0" applyBorder="0" applyAlignment="0" applyProtection="0"/>
    <xf numFmtId="223" fontId="62" fillId="0" borderId="0" applyFont="0" applyFill="0" applyBorder="0" applyAlignment="0" applyProtection="0"/>
    <xf numFmtId="206" fontId="62" fillId="0" borderId="0" applyFont="0" applyFill="0" applyBorder="0" applyAlignment="0" applyProtection="0"/>
    <xf numFmtId="223" fontId="62" fillId="0" borderId="0" applyFont="0" applyFill="0" applyBorder="0" applyAlignment="0" applyProtection="0"/>
    <xf numFmtId="206" fontId="62" fillId="0" borderId="0" applyFont="0" applyFill="0" applyBorder="0" applyAlignment="0" applyProtection="0"/>
    <xf numFmtId="227" fontId="62" fillId="0" borderId="0" applyFont="0" applyFill="0" applyBorder="0" applyAlignment="0" applyProtection="0"/>
    <xf numFmtId="228" fontId="62" fillId="0" borderId="0" applyFont="0" applyFill="0" applyBorder="0" applyAlignment="0" applyProtection="0"/>
    <xf numFmtId="22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224" fontId="62" fillId="0" borderId="0" applyFont="0" applyFill="0" applyBorder="0" applyAlignment="0" applyProtection="0"/>
    <xf numFmtId="206" fontId="62" fillId="0" borderId="0" applyFont="0" applyFill="0" applyBorder="0" applyAlignment="0" applyProtection="0"/>
    <xf numFmtId="199" fontId="62" fillId="0" borderId="0" applyFont="0" applyFill="0" applyBorder="0" applyAlignment="0" applyProtection="0"/>
    <xf numFmtId="172"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67" fontId="62" fillId="0" borderId="0" applyFont="0" applyFill="0" applyBorder="0" applyAlignment="0" applyProtection="0"/>
    <xf numFmtId="212"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189" fontId="62" fillId="0" borderId="0" applyFont="0" applyFill="0" applyBorder="0" applyAlignment="0" applyProtection="0"/>
    <xf numFmtId="167" fontId="62" fillId="0" borderId="0" applyFont="0" applyFill="0" applyBorder="0" applyAlignment="0" applyProtection="0"/>
    <xf numFmtId="213"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89" fontId="62" fillId="0" borderId="0" applyFont="0" applyFill="0" applyBorder="0" applyAlignment="0" applyProtection="0"/>
    <xf numFmtId="43" fontId="62" fillId="0" borderId="0" applyFont="0" applyFill="0" applyBorder="0" applyAlignment="0" applyProtection="0"/>
    <xf numFmtId="212"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84" fontId="62" fillId="0" borderId="0" applyFont="0" applyFill="0" applyBorder="0" applyAlignment="0" applyProtection="0"/>
    <xf numFmtId="167" fontId="62" fillId="0" borderId="0" applyFont="0" applyFill="0" applyBorder="0" applyAlignment="0" applyProtection="0"/>
    <xf numFmtId="199" fontId="62" fillId="0" borderId="0" applyFont="0" applyFill="0" applyBorder="0" applyAlignment="0" applyProtection="0"/>
    <xf numFmtId="0"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0"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214"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67"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214" fontId="62" fillId="0" borderId="0" applyFont="0" applyFill="0" applyBorder="0" applyAlignment="0" applyProtection="0"/>
    <xf numFmtId="167" fontId="62"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214" fontId="62" fillId="0" borderId="0" applyFont="0" applyFill="0" applyBorder="0" applyAlignment="0" applyProtection="0"/>
    <xf numFmtId="189" fontId="62" fillId="0" borderId="0" applyFont="0" applyFill="0" applyBorder="0" applyAlignment="0" applyProtection="0"/>
    <xf numFmtId="43"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215" fontId="62" fillId="0" borderId="0" applyFont="0" applyFill="0" applyBorder="0" applyAlignment="0" applyProtection="0"/>
    <xf numFmtId="216" fontId="62"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171" fontId="47" fillId="0" borderId="0" applyFont="0" applyFill="0" applyBorder="0" applyAlignment="0" applyProtection="0"/>
    <xf numFmtId="187" fontId="47" fillId="0" borderId="0" applyFont="0" applyFill="0" applyBorder="0" applyAlignment="0" applyProtection="0"/>
    <xf numFmtId="211"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211"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98" fontId="47" fillId="0" borderId="0" applyFont="0" applyFill="0" applyBorder="0" applyAlignment="0" applyProtection="0"/>
    <xf numFmtId="42" fontId="62" fillId="0" borderId="0" applyFont="0" applyFill="0" applyBorder="0" applyAlignment="0" applyProtection="0"/>
    <xf numFmtId="208"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10" fontId="62" fillId="0" borderId="0" applyFont="0" applyFill="0" applyBorder="0" applyAlignment="0" applyProtection="0"/>
    <xf numFmtId="20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07" fontId="47" fillId="0" borderId="0" applyFont="0" applyFill="0" applyBorder="0" applyAlignment="0" applyProtection="0"/>
    <xf numFmtId="218" fontId="67" fillId="0" borderId="0" applyFont="0" applyFill="0" applyBorder="0" applyAlignment="0" applyProtection="0"/>
    <xf numFmtId="219"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07" fontId="62" fillId="0" borderId="0" applyFont="0" applyFill="0" applyBorder="0" applyAlignment="0" applyProtection="0"/>
    <xf numFmtId="0" fontId="63"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3" fillId="0" borderId="0"/>
    <xf numFmtId="0" fontId="63" fillId="0" borderId="0"/>
    <xf numFmtId="208"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0" fontId="63" fillId="0" borderId="0"/>
    <xf numFmtId="220"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171" fontId="47" fillId="0" borderId="0" applyFont="0" applyFill="0" applyBorder="0" applyAlignment="0" applyProtection="0"/>
    <xf numFmtId="206" fontId="62" fillId="0" borderId="0" applyFont="0" applyFill="0" applyBorder="0" applyAlignment="0" applyProtection="0"/>
    <xf numFmtId="221"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165" fontId="62" fillId="0" borderId="0" applyFont="0" applyFill="0" applyBorder="0" applyAlignment="0" applyProtection="0"/>
    <xf numFmtId="222" fontId="62" fillId="0" borderId="0" applyFont="0" applyFill="0" applyBorder="0" applyAlignment="0" applyProtection="0"/>
    <xf numFmtId="223" fontId="62" fillId="0" borderId="0" applyFont="0" applyFill="0" applyBorder="0" applyAlignment="0" applyProtection="0"/>
    <xf numFmtId="206" fontId="62" fillId="0" borderId="0" applyFont="0" applyFill="0" applyBorder="0" applyAlignment="0" applyProtection="0"/>
    <xf numFmtId="223" fontId="62" fillId="0" borderId="0" applyFont="0" applyFill="0" applyBorder="0" applyAlignment="0" applyProtection="0"/>
    <xf numFmtId="165" fontId="62" fillId="0" borderId="0" applyFont="0" applyFill="0" applyBorder="0" applyAlignment="0" applyProtection="0"/>
    <xf numFmtId="224"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22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223" fontId="62" fillId="0" borderId="0" applyFont="0" applyFill="0" applyBorder="0" applyAlignment="0" applyProtection="0"/>
    <xf numFmtId="41" fontId="62" fillId="0" borderId="0" applyFont="0" applyFill="0" applyBorder="0" applyAlignment="0" applyProtection="0"/>
    <xf numFmtId="222" fontId="62" fillId="0" borderId="0" applyFont="0" applyFill="0" applyBorder="0" applyAlignment="0" applyProtection="0"/>
    <xf numFmtId="165" fontId="62" fillId="0" borderId="0" applyFont="0" applyFill="0" applyBorder="0" applyAlignment="0" applyProtection="0"/>
    <xf numFmtId="165" fontId="62" fillId="0" borderId="0" applyFont="0" applyFill="0" applyBorder="0" applyAlignment="0" applyProtection="0"/>
    <xf numFmtId="165" fontId="62" fillId="0" borderId="0" applyFont="0" applyFill="0" applyBorder="0" applyAlignment="0" applyProtection="0"/>
    <xf numFmtId="165" fontId="62" fillId="0" borderId="0" applyFont="0" applyFill="0" applyBorder="0" applyAlignment="0" applyProtection="0"/>
    <xf numFmtId="171" fontId="62" fillId="0" borderId="0" applyFont="0" applyFill="0" applyBorder="0" applyAlignment="0" applyProtection="0"/>
    <xf numFmtId="165" fontId="62" fillId="0" borderId="0" applyFont="0" applyFill="0" applyBorder="0" applyAlignment="0" applyProtection="0"/>
    <xf numFmtId="206" fontId="62" fillId="0" borderId="0" applyFont="0" applyFill="0" applyBorder="0" applyAlignment="0" applyProtection="0"/>
    <xf numFmtId="206" fontId="47"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224" fontId="62" fillId="0" borderId="0" applyFont="0" applyFill="0" applyBorder="0" applyAlignment="0" applyProtection="0"/>
    <xf numFmtId="206" fontId="47" fillId="0" borderId="0" applyFont="0" applyFill="0" applyBorder="0" applyAlignment="0" applyProtection="0"/>
    <xf numFmtId="206" fontId="62" fillId="0" borderId="0" applyFont="0" applyFill="0" applyBorder="0" applyAlignment="0" applyProtection="0"/>
    <xf numFmtId="226" fontId="62" fillId="0" borderId="0" applyFont="0" applyFill="0" applyBorder="0" applyAlignment="0" applyProtection="0"/>
    <xf numFmtId="206" fontId="62" fillId="0" borderId="0" applyFont="0" applyFill="0" applyBorder="0" applyAlignment="0" applyProtection="0"/>
    <xf numFmtId="225"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165"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225" fontId="62" fillId="0" borderId="0" applyFont="0" applyFill="0" applyBorder="0" applyAlignment="0" applyProtection="0"/>
    <xf numFmtId="165" fontId="62" fillId="0" borderId="0" applyFont="0" applyFill="0" applyBorder="0" applyAlignment="0" applyProtection="0"/>
    <xf numFmtId="225"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224" fontId="62" fillId="0" borderId="0" applyFont="0" applyFill="0" applyBorder="0" applyAlignment="0" applyProtection="0"/>
    <xf numFmtId="206"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225" fontId="62" fillId="0" borderId="0" applyFont="0" applyFill="0" applyBorder="0" applyAlignment="0" applyProtection="0"/>
    <xf numFmtId="223" fontId="62" fillId="0" borderId="0" applyFont="0" applyFill="0" applyBorder="0" applyAlignment="0" applyProtection="0"/>
    <xf numFmtId="41" fontId="62" fillId="0" borderId="0" applyFont="0" applyFill="0" applyBorder="0" applyAlignment="0" applyProtection="0"/>
    <xf numFmtId="223" fontId="62" fillId="0" borderId="0" applyFont="0" applyFill="0" applyBorder="0" applyAlignment="0" applyProtection="0"/>
    <xf numFmtId="206" fontId="62" fillId="0" borderId="0" applyFont="0" applyFill="0" applyBorder="0" applyAlignment="0" applyProtection="0"/>
    <xf numFmtId="223" fontId="62" fillId="0" borderId="0" applyFont="0" applyFill="0" applyBorder="0" applyAlignment="0" applyProtection="0"/>
    <xf numFmtId="206" fontId="62" fillId="0" borderId="0" applyFont="0" applyFill="0" applyBorder="0" applyAlignment="0" applyProtection="0"/>
    <xf numFmtId="227" fontId="62" fillId="0" borderId="0" applyFont="0" applyFill="0" applyBorder="0" applyAlignment="0" applyProtection="0"/>
    <xf numFmtId="228" fontId="62" fillId="0" borderId="0" applyFont="0" applyFill="0" applyBorder="0" applyAlignment="0" applyProtection="0"/>
    <xf numFmtId="22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224" fontId="62" fillId="0" borderId="0" applyFont="0" applyFill="0" applyBorder="0" applyAlignment="0" applyProtection="0"/>
    <xf numFmtId="206" fontId="62" fillId="0" borderId="0" applyFont="0" applyFill="0" applyBorder="0" applyAlignment="0" applyProtection="0"/>
    <xf numFmtId="199" fontId="62" fillId="0" borderId="0" applyFont="0" applyFill="0" applyBorder="0" applyAlignment="0" applyProtection="0"/>
    <xf numFmtId="172"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67" fontId="62" fillId="0" borderId="0" applyFont="0" applyFill="0" applyBorder="0" applyAlignment="0" applyProtection="0"/>
    <xf numFmtId="212"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189" fontId="62" fillId="0" borderId="0" applyFont="0" applyFill="0" applyBorder="0" applyAlignment="0" applyProtection="0"/>
    <xf numFmtId="167" fontId="62" fillId="0" borderId="0" applyFont="0" applyFill="0" applyBorder="0" applyAlignment="0" applyProtection="0"/>
    <xf numFmtId="213"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189" fontId="62" fillId="0" borderId="0" applyFont="0" applyFill="0" applyBorder="0" applyAlignment="0" applyProtection="0"/>
    <xf numFmtId="43" fontId="62" fillId="0" borderId="0" applyFont="0" applyFill="0" applyBorder="0" applyAlignment="0" applyProtection="0"/>
    <xf numFmtId="212"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84" fontId="62" fillId="0" borderId="0" applyFont="0" applyFill="0" applyBorder="0" applyAlignment="0" applyProtection="0"/>
    <xf numFmtId="167" fontId="62" fillId="0" borderId="0" applyFont="0" applyFill="0" applyBorder="0" applyAlignment="0" applyProtection="0"/>
    <xf numFmtId="199" fontId="62" fillId="0" borderId="0" applyFont="0" applyFill="0" applyBorder="0" applyAlignment="0" applyProtection="0"/>
    <xf numFmtId="0"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184"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0"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214"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99" fontId="62" fillId="0" borderId="0" applyFont="0" applyFill="0" applyBorder="0" applyAlignment="0" applyProtection="0"/>
    <xf numFmtId="167"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18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214" fontId="62" fillId="0" borderId="0" applyFont="0" applyFill="0" applyBorder="0" applyAlignment="0" applyProtection="0"/>
    <xf numFmtId="167" fontId="62"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199"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43" fontId="62" fillId="0" borderId="0" applyFont="0" applyFill="0" applyBorder="0" applyAlignment="0" applyProtection="0"/>
    <xf numFmtId="184" fontId="62" fillId="0" borderId="0" applyFont="0" applyFill="0" applyBorder="0" applyAlignment="0" applyProtection="0"/>
    <xf numFmtId="214" fontId="62" fillId="0" borderId="0" applyFont="0" applyFill="0" applyBorder="0" applyAlignment="0" applyProtection="0"/>
    <xf numFmtId="189" fontId="62" fillId="0" borderId="0" applyFont="0" applyFill="0" applyBorder="0" applyAlignment="0" applyProtection="0"/>
    <xf numFmtId="43"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189" fontId="62" fillId="0" borderId="0" applyFont="0" applyFill="0" applyBorder="0" applyAlignment="0" applyProtection="0"/>
    <xf numFmtId="199" fontId="62" fillId="0" borderId="0" applyFont="0" applyFill="0" applyBorder="0" applyAlignment="0" applyProtection="0"/>
    <xf numFmtId="215" fontId="62" fillId="0" borderId="0" applyFont="0" applyFill="0" applyBorder="0" applyAlignment="0" applyProtection="0"/>
    <xf numFmtId="216" fontId="62" fillId="0" borderId="0" applyFont="0" applyFill="0" applyBorder="0" applyAlignment="0" applyProtection="0"/>
    <xf numFmtId="214"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213" fontId="62" fillId="0" borderId="0" applyFont="0" applyFill="0" applyBorder="0" applyAlignment="0" applyProtection="0"/>
    <xf numFmtId="199" fontId="62" fillId="0" borderId="0" applyFont="0" applyFill="0" applyBorder="0" applyAlignment="0" applyProtection="0"/>
    <xf numFmtId="187" fontId="47" fillId="0" borderId="0" applyFont="0" applyFill="0" applyBorder="0" applyAlignment="0" applyProtection="0"/>
    <xf numFmtId="211"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211"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87" fontId="47" fillId="0" borderId="0" applyFont="0" applyFill="0" applyBorder="0" applyAlignment="0" applyProtection="0"/>
    <xf numFmtId="198" fontId="47" fillId="0" borderId="0" applyFont="0" applyFill="0" applyBorder="0" applyAlignment="0" applyProtection="0"/>
    <xf numFmtId="184" fontId="47" fillId="0" borderId="0" applyFont="0" applyFill="0" applyBorder="0" applyAlignment="0" applyProtection="0"/>
    <xf numFmtId="0" fontId="63" fillId="0" borderId="0"/>
    <xf numFmtId="210" fontId="62" fillId="0" borderId="0" applyFont="0" applyFill="0" applyBorder="0" applyAlignment="0" applyProtection="0"/>
    <xf numFmtId="42" fontId="62"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42" fontId="62" fillId="0" borderId="0" applyFont="0" applyFill="0" applyBorder="0" applyAlignment="0" applyProtection="0"/>
    <xf numFmtId="0" fontId="65" fillId="0" borderId="0">
      <alignment vertical="top"/>
    </xf>
    <xf numFmtId="0" fontId="65" fillId="0" borderId="0">
      <alignment vertical="top"/>
    </xf>
    <xf numFmtId="0" fontId="64" fillId="0" borderId="0">
      <alignment vertical="top"/>
    </xf>
    <xf numFmtId="0" fontId="64" fillId="0" borderId="0">
      <alignment vertical="top"/>
    </xf>
    <xf numFmtId="0" fontId="64" fillId="0" borderId="0">
      <alignment vertical="top"/>
    </xf>
    <xf numFmtId="0" fontId="6" fillId="0" borderId="0"/>
    <xf numFmtId="0" fontId="65" fillId="0" borderId="0">
      <alignment vertical="top"/>
    </xf>
    <xf numFmtId="0" fontId="65" fillId="0" borderId="0">
      <alignment vertical="top"/>
    </xf>
    <xf numFmtId="0" fontId="64" fillId="0" borderId="0">
      <alignment vertical="top"/>
    </xf>
    <xf numFmtId="0" fontId="64" fillId="0" borderId="0">
      <alignment vertical="top"/>
    </xf>
    <xf numFmtId="0" fontId="64"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4" fillId="0" borderId="0">
      <alignment vertical="top"/>
    </xf>
    <xf numFmtId="0" fontId="64" fillId="0" borderId="0">
      <alignment vertical="top"/>
    </xf>
    <xf numFmtId="0" fontId="64" fillId="0" borderId="0">
      <alignment vertical="top"/>
    </xf>
    <xf numFmtId="0" fontId="65" fillId="0" borderId="0">
      <alignment vertical="top"/>
    </xf>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98" fontId="46" fillId="0" borderId="0" applyProtection="0"/>
    <xf numFmtId="187" fontId="46" fillId="0" borderId="0" applyProtection="0"/>
    <xf numFmtId="187" fontId="46" fillId="0" borderId="0" applyProtection="0"/>
    <xf numFmtId="0" fontId="48" fillId="0" borderId="0" applyProtection="0"/>
    <xf numFmtId="198" fontId="46" fillId="0" borderId="0" applyProtection="0"/>
    <xf numFmtId="187" fontId="46" fillId="0" borderId="0" applyProtection="0"/>
    <xf numFmtId="187" fontId="46" fillId="0" borderId="0" applyProtection="0"/>
    <xf numFmtId="0" fontId="48" fillId="0" borderId="0" applyProtection="0"/>
    <xf numFmtId="210" fontId="62"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3" fillId="0" borderId="0"/>
    <xf numFmtId="205" fontId="62" fillId="0" borderId="0" applyFont="0" applyFill="0" applyBorder="0" applyAlignment="0" applyProtection="0"/>
    <xf numFmtId="0" fontId="63" fillId="0" borderId="0"/>
    <xf numFmtId="42" fontId="62" fillId="0" borderId="0" applyFont="0" applyFill="0" applyBorder="0" applyAlignment="0" applyProtection="0"/>
    <xf numFmtId="229" fontId="68" fillId="0" borderId="0" applyFont="0" applyFill="0" applyBorder="0" applyAlignment="0" applyProtection="0"/>
    <xf numFmtId="0" fontId="6" fillId="0" borderId="0"/>
    <xf numFmtId="230" fontId="69" fillId="0" borderId="0" applyFont="0" applyFill="0" applyBorder="0" applyAlignment="0" applyProtection="0"/>
    <xf numFmtId="231" fontId="69" fillId="0" borderId="0" applyFont="0" applyFill="0" applyBorder="0" applyAlignment="0" applyProtection="0"/>
    <xf numFmtId="0" fontId="70" fillId="0" borderId="0"/>
    <xf numFmtId="0" fontId="71" fillId="0" borderId="0"/>
    <xf numFmtId="0" fontId="71" fillId="0" borderId="0"/>
    <xf numFmtId="0" fontId="71" fillId="0" borderId="0"/>
    <xf numFmtId="0" fontId="39" fillId="0" borderId="0"/>
    <xf numFmtId="1" fontId="72" fillId="0" borderId="2" applyBorder="0" applyAlignment="0">
      <alignment horizontal="center"/>
    </xf>
    <xf numFmtId="1" fontId="72" fillId="0" borderId="2" applyBorder="0" applyAlignment="0">
      <alignment horizontal="center"/>
    </xf>
    <xf numFmtId="0" fontId="73" fillId="0" borderId="0"/>
    <xf numFmtId="0" fontId="73" fillId="0" borderId="0"/>
    <xf numFmtId="0" fontId="6" fillId="0" borderId="0"/>
    <xf numFmtId="0" fontId="82" fillId="0" borderId="0"/>
    <xf numFmtId="0" fontId="6" fillId="0" borderId="0"/>
    <xf numFmtId="0" fontId="203" fillId="0" borderId="0"/>
    <xf numFmtId="0" fontId="73" fillId="0" borderId="0" applyProtection="0"/>
    <xf numFmtId="3" fontId="49" fillId="0" borderId="2"/>
    <xf numFmtId="3" fontId="49" fillId="0" borderId="2"/>
    <xf numFmtId="3" fontId="49" fillId="0" borderId="2"/>
    <xf numFmtId="3" fontId="49" fillId="0" borderId="2"/>
    <xf numFmtId="229" fontId="68" fillId="0" borderId="0" applyFont="0" applyFill="0" applyBorder="0" applyAlignment="0" applyProtection="0"/>
    <xf numFmtId="0" fontId="74" fillId="9" borderId="0"/>
    <xf numFmtId="0" fontId="74" fillId="9" borderId="0"/>
    <xf numFmtId="0" fontId="74" fillId="9" borderId="0"/>
    <xf numFmtId="229" fontId="68" fillId="0" borderId="0" applyFont="0" applyFill="0" applyBorder="0" applyAlignment="0" applyProtection="0"/>
    <xf numFmtId="0" fontId="74"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229" fontId="68" fillId="0" borderId="0" applyFont="0" applyFill="0" applyBorder="0" applyAlignment="0" applyProtection="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6" fillId="0" borderId="0" applyFont="0" applyFill="0" applyBorder="0" applyAlignment="0">
      <alignment horizontal="left"/>
    </xf>
    <xf numFmtId="0" fontId="74" fillId="9" borderId="0"/>
    <xf numFmtId="0" fontId="76" fillId="0" borderId="0" applyFont="0" applyFill="0" applyBorder="0" applyAlignment="0">
      <alignment horizontal="left"/>
    </xf>
    <xf numFmtId="0" fontId="75" fillId="9" borderId="0"/>
    <xf numFmtId="0" fontId="75" fillId="9" borderId="0"/>
    <xf numFmtId="0" fontId="75" fillId="9" borderId="0"/>
    <xf numFmtId="0" fontId="75" fillId="9" borderId="0"/>
    <xf numFmtId="0" fontId="75" fillId="9" borderId="0"/>
    <xf numFmtId="0" fontId="75" fillId="9" borderId="0"/>
    <xf numFmtId="229" fontId="68" fillId="0" borderId="0" applyFont="0" applyFill="0" applyBorder="0" applyAlignment="0" applyProtection="0"/>
    <xf numFmtId="0" fontId="74" fillId="9" borderId="0"/>
    <xf numFmtId="0" fontId="74" fillId="9" borderId="0"/>
    <xf numFmtId="0" fontId="77" fillId="0" borderId="2" applyNumberFormat="0" applyFont="0" applyBorder="0">
      <alignment horizontal="left" indent="2"/>
    </xf>
    <xf numFmtId="0" fontId="77" fillId="0" borderId="2" applyNumberFormat="0" applyFont="0" applyBorder="0">
      <alignment horizontal="left" indent="2"/>
    </xf>
    <xf numFmtId="0" fontId="76" fillId="0" borderId="0" applyFont="0" applyFill="0" applyBorder="0" applyAlignment="0">
      <alignment horizontal="left"/>
    </xf>
    <xf numFmtId="0" fontId="76" fillId="0" borderId="0" applyFont="0" applyFill="0" applyBorder="0" applyAlignment="0">
      <alignment horizontal="left"/>
    </xf>
    <xf numFmtId="0" fontId="78" fillId="0" borderId="0"/>
    <xf numFmtId="0" fontId="79" fillId="10" borderId="23" applyFont="0" applyFill="0" applyAlignment="0">
      <alignment vertical="center" wrapText="1"/>
    </xf>
    <xf numFmtId="9" fontId="80" fillId="0" borderId="0" applyBorder="0" applyAlignment="0" applyProtection="0"/>
    <xf numFmtId="0" fontId="81" fillId="9" borderId="0"/>
    <xf numFmtId="0" fontId="81"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81" fillId="9" borderId="0"/>
    <xf numFmtId="0" fontId="81" fillId="9" borderId="0"/>
    <xf numFmtId="0" fontId="77" fillId="0" borderId="2" applyNumberFormat="0" applyFont="0" applyBorder="0" applyAlignment="0">
      <alignment horizontal="center"/>
    </xf>
    <xf numFmtId="0" fontId="77" fillId="0" borderId="2" applyNumberFormat="0" applyFont="0" applyBorder="0" applyAlignment="0">
      <alignment horizontal="center"/>
    </xf>
    <xf numFmtId="0" fontId="8" fillId="0" borderId="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82" fillId="0" borderId="0"/>
    <xf numFmtId="0" fontId="83" fillId="9" borderId="0"/>
    <xf numFmtId="0" fontId="83"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75" fillId="9" borderId="0"/>
    <xf numFmtId="0" fontId="83" fillId="9" borderId="0"/>
    <xf numFmtId="0" fontId="84" fillId="0" borderId="0">
      <alignment wrapText="1"/>
    </xf>
    <xf numFmtId="0" fontId="84"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75" fillId="0" borderId="0">
      <alignment wrapText="1"/>
    </xf>
    <xf numFmtId="0" fontId="84" fillId="0" borderId="0">
      <alignment wrapText="1"/>
    </xf>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169" fontId="85" fillId="0" borderId="1" applyNumberFormat="0" applyFont="0" applyBorder="0" applyAlignment="0">
      <alignment horizontal="center"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86" fillId="21" borderId="0" applyNumberFormat="0" applyBorder="0" applyAlignment="0" applyProtection="0"/>
    <xf numFmtId="0" fontId="86" fillId="18" borderId="0" applyNumberFormat="0" applyBorder="0" applyAlignment="0" applyProtection="0"/>
    <xf numFmtId="0" fontId="86" fillId="19" borderId="0" applyNumberFormat="0" applyBorder="0" applyAlignment="0" applyProtection="0"/>
    <xf numFmtId="0" fontId="86" fillId="22" borderId="0" applyNumberFormat="0" applyBorder="0" applyAlignment="0" applyProtection="0"/>
    <xf numFmtId="0" fontId="86" fillId="23" borderId="0" applyNumberFormat="0" applyBorder="0" applyAlignment="0" applyProtection="0"/>
    <xf numFmtId="0" fontId="86" fillId="24" borderId="0" applyNumberFormat="0" applyBorder="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6" fillId="25" borderId="0" applyNumberFormat="0" applyBorder="0" applyAlignment="0" applyProtection="0"/>
    <xf numFmtId="0" fontId="86" fillId="26" borderId="0" applyNumberFormat="0" applyBorder="0" applyAlignment="0" applyProtection="0"/>
    <xf numFmtId="0" fontId="86" fillId="27" borderId="0" applyNumberFormat="0" applyBorder="0" applyAlignment="0" applyProtection="0"/>
    <xf numFmtId="0" fontId="86" fillId="22" borderId="0" applyNumberFormat="0" applyBorder="0" applyAlignment="0" applyProtection="0"/>
    <xf numFmtId="0" fontId="86" fillId="23" borderId="0" applyNumberFormat="0" applyBorder="0" applyAlignment="0" applyProtection="0"/>
    <xf numFmtId="0" fontId="86" fillId="28" borderId="0" applyNumberFormat="0" applyBorder="0" applyAlignment="0" applyProtection="0"/>
    <xf numFmtId="232" fontId="88" fillId="0" borderId="0" applyFont="0" applyFill="0" applyBorder="0" applyAlignment="0" applyProtection="0"/>
    <xf numFmtId="0" fontId="89" fillId="0" borderId="0" applyFont="0" applyFill="0" applyBorder="0" applyAlignment="0" applyProtection="0"/>
    <xf numFmtId="182" fontId="90" fillId="0" borderId="0" applyFont="0" applyFill="0" applyBorder="0" applyAlignment="0" applyProtection="0"/>
    <xf numFmtId="224" fontId="88" fillId="0" borderId="0" applyFont="0" applyFill="0" applyBorder="0" applyAlignment="0" applyProtection="0"/>
    <xf numFmtId="0" fontId="89" fillId="0" borderId="0" applyFont="0" applyFill="0" applyBorder="0" applyAlignment="0" applyProtection="0"/>
    <xf numFmtId="233" fontId="88" fillId="0" borderId="0" applyFont="0" applyFill="0" applyBorder="0" applyAlignment="0" applyProtection="0"/>
    <xf numFmtId="0" fontId="91" fillId="0" borderId="0">
      <alignment horizontal="center" wrapText="1"/>
      <protection locked="0"/>
    </xf>
    <xf numFmtId="0" fontId="92" fillId="0" borderId="0">
      <alignment horizontal="center" wrapText="1"/>
      <protection locked="0"/>
    </xf>
    <xf numFmtId="0" fontId="93" fillId="0" borderId="0" applyNumberFormat="0" applyBorder="0" applyAlignment="0">
      <alignment horizontal="center"/>
    </xf>
    <xf numFmtId="222" fontId="94" fillId="0" borderId="0" applyFont="0" applyFill="0" applyBorder="0" applyAlignment="0" applyProtection="0"/>
    <xf numFmtId="0" fontId="89" fillId="0" borderId="0" applyFont="0" applyFill="0" applyBorder="0" applyAlignment="0" applyProtection="0"/>
    <xf numFmtId="234" fontId="62" fillId="0" borderId="0" applyFont="0" applyFill="0" applyBorder="0" applyAlignment="0" applyProtection="0"/>
    <xf numFmtId="212" fontId="94" fillId="0" borderId="0" applyFont="0" applyFill="0" applyBorder="0" applyAlignment="0" applyProtection="0"/>
    <xf numFmtId="0" fontId="89" fillId="0" borderId="0" applyFont="0" applyFill="0" applyBorder="0" applyAlignment="0" applyProtection="0"/>
    <xf numFmtId="235" fontId="62" fillId="0" borderId="0" applyFont="0" applyFill="0" applyBorder="0" applyAlignment="0" applyProtection="0"/>
    <xf numFmtId="187" fontId="47" fillId="0" borderId="0" applyFont="0" applyFill="0" applyBorder="0" applyAlignment="0" applyProtection="0"/>
    <xf numFmtId="211" fontId="47" fillId="0" borderId="0" applyFont="0" applyFill="0" applyBorder="0" applyAlignment="0" applyProtection="0"/>
    <xf numFmtId="0" fontId="95" fillId="12" borderId="0" applyNumberFormat="0" applyBorder="0" applyAlignment="0" applyProtection="0"/>
    <xf numFmtId="0" fontId="96" fillId="0" borderId="0"/>
    <xf numFmtId="0" fontId="97" fillId="0" borderId="0" applyNumberFormat="0" applyFill="0" applyBorder="0" applyAlignment="0" applyProtection="0"/>
    <xf numFmtId="0" fontId="89" fillId="0" borderId="0"/>
    <xf numFmtId="0" fontId="98" fillId="0" borderId="0"/>
    <xf numFmtId="0" fontId="99" fillId="0" borderId="0"/>
    <xf numFmtId="0" fontId="89" fillId="0" borderId="0"/>
    <xf numFmtId="0" fontId="100" fillId="0" borderId="0"/>
    <xf numFmtId="0" fontId="101" fillId="0" borderId="0"/>
    <xf numFmtId="0" fontId="102" fillId="0" borderId="0"/>
    <xf numFmtId="236" fontId="66" fillId="0" borderId="0" applyFill="0" applyBorder="0" applyAlignment="0"/>
    <xf numFmtId="237" fontId="8" fillId="0" borderId="0" applyFill="0" applyBorder="0" applyAlignment="0"/>
    <xf numFmtId="196" fontId="103"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191"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39" fontId="6" fillId="0" borderId="0" applyFill="0" applyBorder="0" applyAlignment="0"/>
    <xf numFmtId="240"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1" fontId="6" fillId="0" borderId="0" applyFill="0" applyBorder="0" applyAlignment="0"/>
    <xf numFmtId="242" fontId="82"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243" fontId="6" fillId="0" borderId="0" applyFill="0" applyBorder="0" applyAlignment="0"/>
    <xf numFmtId="188" fontId="103"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5" fontId="103"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196" fontId="103"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0" fontId="104" fillId="29" borderId="24" applyNumberFormat="0" applyAlignment="0" applyProtection="0"/>
    <xf numFmtId="0" fontId="105" fillId="0" borderId="0"/>
    <xf numFmtId="0" fontId="106" fillId="0" borderId="0"/>
    <xf numFmtId="0" fontId="107" fillId="0" borderId="0" applyFill="0" applyBorder="0" applyProtection="0">
      <alignment horizontal="center"/>
      <protection locked="0"/>
    </xf>
    <xf numFmtId="200" fontId="62" fillId="0" borderId="0" applyFont="0" applyFill="0" applyBorder="0" applyAlignment="0" applyProtection="0"/>
    <xf numFmtId="0" fontId="108" fillId="30" borderId="25" applyNumberFormat="0" applyAlignment="0" applyProtection="0"/>
    <xf numFmtId="0" fontId="205" fillId="7" borderId="19" applyNumberFormat="0" applyAlignment="0" applyProtection="0"/>
    <xf numFmtId="169" fontId="73" fillId="0" borderId="0" applyFont="0" applyFill="0" applyBorder="0" applyAlignment="0" applyProtection="0"/>
    <xf numFmtId="1" fontId="109" fillId="0" borderId="10" applyBorder="0"/>
    <xf numFmtId="0" fontId="110" fillId="0" borderId="6">
      <alignment horizontal="center"/>
    </xf>
    <xf numFmtId="247" fontId="111" fillId="0" borderId="0"/>
    <xf numFmtId="247" fontId="111" fillId="0" borderId="0"/>
    <xf numFmtId="247" fontId="111" fillId="0" borderId="0"/>
    <xf numFmtId="247" fontId="111" fillId="0" borderId="0"/>
    <xf numFmtId="247" fontId="111" fillId="0" borderId="0"/>
    <xf numFmtId="247" fontId="111" fillId="0" borderId="0"/>
    <xf numFmtId="247" fontId="111" fillId="0" borderId="0"/>
    <xf numFmtId="247" fontId="111" fillId="0" borderId="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248" fontId="6" fillId="0" borderId="0" applyFont="0" applyFill="0" applyBorder="0" applyAlignment="0" applyProtection="0"/>
    <xf numFmtId="41" fontId="6" fillId="0" borderId="0" applyFont="0" applyFill="0" applyBorder="0" applyAlignment="0" applyProtection="0"/>
    <xf numFmtId="41" fontId="112" fillId="0" borderId="0" applyFont="0" applyFill="0" applyBorder="0" applyAlignment="0" applyProtection="0"/>
    <xf numFmtId="41" fontId="112"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1" fontId="87"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22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70" fontId="46" fillId="0" borderId="0" applyProtection="0"/>
    <xf numFmtId="170" fontId="46" fillId="0" borderId="0" applyProtection="0"/>
    <xf numFmtId="22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6" fontId="46" fillId="0" borderId="0" applyFont="0" applyFill="0" applyBorder="0" applyAlignment="0" applyProtection="0"/>
    <xf numFmtId="184" fontId="46" fillId="0" borderId="0" applyFont="0" applyFill="0" applyBorder="0" applyAlignment="0" applyProtection="0"/>
    <xf numFmtId="0" fontId="8" fillId="0" borderId="0" applyFont="0" applyFill="0" applyBorder="0" applyAlignment="0" applyProtection="0"/>
    <xf numFmtId="41" fontId="10" fillId="0" borderId="0" applyFont="0" applyFill="0" applyBorder="0" applyAlignment="0" applyProtection="0"/>
    <xf numFmtId="171" fontId="4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88" fontId="103"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4" fontId="6" fillId="0" borderId="0" applyFont="0" applyFill="0" applyBorder="0" applyAlignment="0" applyProtection="0"/>
    <xf numFmtId="249" fontId="3" fillId="0" borderId="0" applyFont="0" applyFill="0" applyBorder="0" applyAlignment="0" applyProtection="0"/>
    <xf numFmtId="250" fontId="46" fillId="0" borderId="0" applyFont="0" applyFill="0" applyBorder="0" applyAlignment="0" applyProtection="0"/>
    <xf numFmtId="251" fontId="113" fillId="0" borderId="0" applyFont="0" applyFill="0" applyBorder="0" applyAlignment="0" applyProtection="0"/>
    <xf numFmtId="252" fontId="46" fillId="0" borderId="0" applyFont="0" applyFill="0" applyBorder="0" applyAlignment="0" applyProtection="0"/>
    <xf numFmtId="253" fontId="113" fillId="0" borderId="0" applyFont="0" applyFill="0" applyBorder="0" applyAlignment="0" applyProtection="0"/>
    <xf numFmtId="254" fontId="4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167" fontId="10" fillId="0" borderId="0" applyFont="0" applyFill="0" applyBorder="0" applyAlignment="0" applyProtection="0"/>
    <xf numFmtId="41" fontId="10" fillId="0" borderId="0" applyFont="0" applyFill="0" applyBorder="0" applyAlignment="0" applyProtection="0"/>
    <xf numFmtId="0" fontId="10" fillId="0" borderId="0" applyFont="0" applyFill="0" applyBorder="0" applyAlignment="0" applyProtection="0"/>
    <xf numFmtId="43" fontId="6" fillId="0" borderId="0" applyFont="0" applyFill="0" applyBorder="0" applyAlignment="0" applyProtection="0"/>
    <xf numFmtId="167" fontId="10" fillId="0" borderId="0" applyFont="0" applyFill="0" applyBorder="0" applyAlignment="0" applyProtection="0"/>
    <xf numFmtId="186" fontId="10" fillId="0" borderId="0" applyFont="0" applyFill="0" applyBorder="0" applyAlignment="0" applyProtection="0"/>
    <xf numFmtId="43" fontId="10" fillId="0" borderId="0" applyFont="0" applyFill="0" applyBorder="0" applyAlignment="0" applyProtection="0"/>
    <xf numFmtId="198" fontId="10" fillId="0" borderId="0" applyFont="0" applyFill="0" applyBorder="0" applyAlignment="0" applyProtection="0"/>
    <xf numFmtId="43" fontId="43"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16" fillId="0" borderId="0" applyFont="0" applyFill="0" applyBorder="0" applyAlignment="0" applyProtection="0"/>
    <xf numFmtId="43" fontId="2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55" fontId="10" fillId="0" borderId="0" applyFont="0" applyFill="0" applyBorder="0" applyAlignment="0" applyProtection="0"/>
    <xf numFmtId="168"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55" fontId="10" fillId="0" borderId="0" applyFont="0" applyFill="0" applyBorder="0" applyAlignment="0" applyProtection="0"/>
    <xf numFmtId="256" fontId="10" fillId="0" borderId="0" applyFont="0" applyFill="0" applyBorder="0" applyAlignment="0" applyProtection="0"/>
    <xf numFmtId="256" fontId="10" fillId="0" borderId="0" applyFont="0" applyFill="0" applyBorder="0" applyAlignment="0" applyProtection="0"/>
    <xf numFmtId="43" fontId="6" fillId="0" borderId="0" applyFont="0" applyFill="0" applyBorder="0" applyAlignment="0" applyProtection="0"/>
    <xf numFmtId="43" fontId="38" fillId="0" borderId="0" applyFont="0" applyFill="0" applyBorder="0" applyAlignment="0" applyProtection="0"/>
    <xf numFmtId="256" fontId="10" fillId="0" borderId="0" applyFont="0" applyFill="0" applyBorder="0" applyAlignment="0" applyProtection="0"/>
    <xf numFmtId="256" fontId="10"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114" fillId="0" borderId="0" applyFont="0" applyFill="0" applyBorder="0" applyAlignment="0" applyProtection="0"/>
    <xf numFmtId="189"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43" fontId="115" fillId="0" borderId="0" applyFont="0" applyFill="0" applyBorder="0" applyAlignment="0" applyProtection="0"/>
    <xf numFmtId="0" fontId="6" fillId="0" borderId="0" applyFont="0" applyFill="0" applyBorder="0" applyAlignment="0" applyProtection="0"/>
    <xf numFmtId="257" fontId="10"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43" fontId="3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43" fontId="45" fillId="0" borderId="0" applyFont="0" applyFill="0" applyBorder="0" applyAlignment="0" applyProtection="0"/>
    <xf numFmtId="231" fontId="6"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258" fontId="10" fillId="0" borderId="0" applyFont="0" applyFill="0" applyBorder="0" applyAlignment="0" applyProtection="0"/>
    <xf numFmtId="259" fontId="10" fillId="0" borderId="0" applyFont="0" applyFill="0" applyBorder="0" applyAlignment="0" applyProtection="0"/>
    <xf numFmtId="260" fontId="10" fillId="0" borderId="0" applyFont="0" applyFill="0" applyBorder="0" applyAlignment="0" applyProtection="0"/>
    <xf numFmtId="258" fontId="10"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0" fillId="0" borderId="0" applyFont="0" applyFill="0" applyBorder="0" applyAlignment="0" applyProtection="0"/>
    <xf numFmtId="43" fontId="27" fillId="0" borderId="0" applyFont="0" applyFill="0" applyBorder="0" applyAlignment="0" applyProtection="0"/>
    <xf numFmtId="43" fontId="10" fillId="0" borderId="0" applyFont="0" applyFill="0" applyBorder="0" applyAlignment="0" applyProtection="0"/>
    <xf numFmtId="261" fontId="6"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9" fontId="6" fillId="0" borderId="0" applyFont="0" applyFill="0" applyBorder="0" applyAlignment="0" applyProtection="0"/>
    <xf numFmtId="44" fontId="46" fillId="0" borderId="0" applyFont="0" applyFill="0" applyBorder="0" applyAlignment="0" applyProtection="0"/>
    <xf numFmtId="43" fontId="114" fillId="0" borderId="0" applyFont="0" applyFill="0" applyBorder="0" applyAlignment="0" applyProtection="0"/>
    <xf numFmtId="0" fontId="10" fillId="0" borderId="0" applyFont="0" applyFill="0" applyBorder="0" applyAlignment="0" applyProtection="0"/>
    <xf numFmtId="262"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62" fontId="46" fillId="0" borderId="0" applyFont="0" applyFill="0" applyBorder="0" applyAlignment="0" applyProtection="0"/>
    <xf numFmtId="263" fontId="70" fillId="0" borderId="0" applyFont="0" applyFill="0" applyBorder="0" applyAlignment="0" applyProtection="0"/>
    <xf numFmtId="43" fontId="10" fillId="0" borderId="0" applyFont="0" applyFill="0" applyBorder="0" applyAlignment="0" applyProtection="0"/>
    <xf numFmtId="262" fontId="46" fillId="0" borderId="0" applyFont="0" applyFill="0" applyBorder="0" applyAlignment="0" applyProtection="0"/>
    <xf numFmtId="264" fontId="8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0" fillId="0" borderId="0" applyFont="0" applyFill="0" applyBorder="0" applyAlignment="0" applyProtection="0"/>
    <xf numFmtId="263" fontId="70" fillId="0" borderId="0" applyFont="0" applyFill="0" applyBorder="0" applyAlignment="0" applyProtection="0"/>
    <xf numFmtId="185" fontId="46" fillId="0" borderId="0" applyProtection="0"/>
    <xf numFmtId="263" fontId="70" fillId="0" borderId="0" applyFont="0" applyFill="0" applyBorder="0" applyAlignment="0" applyProtection="0"/>
    <xf numFmtId="189" fontId="117" fillId="0" borderId="0" applyFont="0" applyFill="0" applyBorder="0" applyAlignment="0" applyProtection="0"/>
    <xf numFmtId="0" fontId="10" fillId="0" borderId="0" applyFont="0" applyFill="0" applyBorder="0" applyAlignment="0" applyProtection="0"/>
    <xf numFmtId="167" fontId="46" fillId="0" borderId="0" applyFont="0" applyFill="0" applyBorder="0" applyAlignment="0" applyProtection="0"/>
    <xf numFmtId="167"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94" fontId="6"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184" fontId="87" fillId="0" borderId="0" applyFont="0" applyFill="0" applyBorder="0" applyAlignment="0" applyProtection="0"/>
    <xf numFmtId="193" fontId="46" fillId="0" borderId="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93" fontId="46" fillId="0" borderId="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93" fontId="46" fillId="0" borderId="0" applyProtection="0"/>
    <xf numFmtId="43" fontId="2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24" fontId="6" fillId="0" borderId="0" applyFont="0" applyFill="0" applyBorder="0" applyAlignment="0" applyProtection="0"/>
    <xf numFmtId="329" fontId="6" fillId="0" borderId="0" applyFont="0" applyFill="0" applyBorder="0" applyAlignment="0" applyProtection="0"/>
    <xf numFmtId="43" fontId="45" fillId="0" borderId="0" applyFont="0" applyFill="0" applyBorder="0" applyAlignment="0" applyProtection="0"/>
    <xf numFmtId="265" fontId="6" fillId="0" borderId="0" applyFont="0" applyFill="0" applyBorder="0" applyAlignment="0" applyProtection="0"/>
    <xf numFmtId="43" fontId="6" fillId="0" borderId="0" applyFont="0" applyFill="0" applyBorder="0" applyAlignment="0" applyProtection="0"/>
    <xf numFmtId="184" fontId="46" fillId="0" borderId="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24"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0" fontId="66"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265" fontId="10" fillId="0" borderId="0" applyFont="0" applyFill="0" applyBorder="0" applyAlignment="0" applyProtection="0"/>
    <xf numFmtId="43" fontId="6" fillId="0" borderId="0" applyFont="0" applyFill="0" applyBorder="0" applyAlignment="0" applyProtection="0"/>
    <xf numFmtId="190"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7"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66" fontId="38"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224" fontId="10" fillId="0" borderId="0" applyFont="0" applyFill="0" applyBorder="0" applyAlignment="0" applyProtection="0"/>
    <xf numFmtId="0" fontId="17" fillId="0" borderId="0" applyFont="0" applyFill="0" applyBorder="0" applyAlignment="0" applyProtection="0"/>
    <xf numFmtId="267" fontId="38" fillId="0" borderId="0" applyFont="0" applyFill="0" applyBorder="0" applyAlignment="0" applyProtection="0"/>
    <xf numFmtId="43" fontId="6"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43" fontId="8" fillId="0" borderId="0" applyFont="0" applyFill="0" applyBorder="0" applyAlignment="0" applyProtection="0"/>
    <xf numFmtId="184" fontId="10" fillId="0" borderId="0" applyFont="0" applyFill="0" applyBorder="0" applyAlignment="0" applyProtection="0"/>
    <xf numFmtId="193" fontId="46" fillId="0" borderId="0" applyProtection="0"/>
    <xf numFmtId="193" fontId="46" fillId="0" borderId="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8" fillId="0" borderId="0" applyFont="0" applyFill="0" applyBorder="0" applyAlignment="0" applyProtection="0"/>
    <xf numFmtId="43" fontId="114" fillId="0" borderId="0" applyFont="0" applyFill="0" applyBorder="0" applyAlignment="0" applyProtection="0"/>
    <xf numFmtId="43" fontId="11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4"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27"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172"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97" fontId="42" fillId="0" borderId="0" applyFill="0" applyBorder="0" applyAlignment="0" applyProtection="0"/>
    <xf numFmtId="43" fontId="10" fillId="0" borderId="0" applyFont="0" applyFill="0" applyBorder="0" applyAlignment="0" applyProtection="0"/>
    <xf numFmtId="172" fontId="6" fillId="0" borderId="0" applyFont="0" applyFill="0" applyBorder="0" applyAlignment="0" applyProtection="0"/>
    <xf numFmtId="43" fontId="10" fillId="0" borderId="0" applyFont="0" applyFill="0" applyBorder="0" applyAlignment="0" applyProtection="0"/>
    <xf numFmtId="172" fontId="6" fillId="0" borderId="0" applyFont="0" applyFill="0" applyBorder="0" applyAlignment="0" applyProtection="0"/>
    <xf numFmtId="184" fontId="6" fillId="0" borderId="0" applyFont="0" applyFill="0" applyBorder="0" applyAlignment="0" applyProtection="0"/>
    <xf numFmtId="184" fontId="46" fillId="0" borderId="0" applyProtection="0"/>
    <xf numFmtId="43" fontId="43"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2" fillId="0" borderId="0" applyFont="0" applyFill="0" applyBorder="0" applyAlignment="0" applyProtection="0"/>
    <xf numFmtId="43" fontId="1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84" fontId="10" fillId="0" borderId="0" applyFont="0" applyFill="0" applyBorder="0" applyAlignment="0" applyProtection="0"/>
    <xf numFmtId="167" fontId="45"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86" fontId="43" fillId="0" borderId="0" applyFont="0" applyFill="0" applyBorder="0" applyAlignment="0" applyProtection="0"/>
    <xf numFmtId="43" fontId="11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184" fontId="46"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172" fontId="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7" fontId="8" fillId="0" borderId="0" applyFont="0" applyFill="0" applyBorder="0" applyAlignment="0" applyProtection="0"/>
    <xf numFmtId="43" fontId="8" fillId="0" borderId="0" applyFont="0" applyFill="0" applyBorder="0" applyAlignment="0" applyProtection="0"/>
    <xf numFmtId="265"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8" fontId="38" fillId="0" borderId="0" applyFont="0" applyFill="0" applyBorder="0" applyAlignment="0" applyProtection="0"/>
    <xf numFmtId="184"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43" fontId="27"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184" fontId="10" fillId="0" borderId="0" applyFont="0" applyFill="0" applyBorder="0" applyAlignment="0" applyProtection="0"/>
    <xf numFmtId="43" fontId="10" fillId="0" borderId="0" applyFont="0" applyFill="0" applyBorder="0" applyAlignment="0" applyProtection="0"/>
    <xf numFmtId="268" fontId="39" fillId="0" borderId="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46" fillId="0" borderId="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0" fontId="41" fillId="0" borderId="0" applyNumberFormat="0" applyFill="0" applyBorder="0" applyAlignment="0" applyProtection="0"/>
    <xf numFmtId="0" fontId="119" fillId="0" borderId="0">
      <alignment horizontal="center"/>
    </xf>
    <xf numFmtId="0" fontId="120" fillId="0" borderId="0" applyNumberFormat="0" applyAlignment="0">
      <alignment horizontal="left"/>
    </xf>
    <xf numFmtId="199" fontId="121" fillId="0" borderId="0" applyFont="0" applyFill="0" applyBorder="0" applyAlignment="0" applyProtection="0"/>
    <xf numFmtId="269" fontId="122" fillId="0" borderId="0" applyFill="0" applyBorder="0" applyProtection="0"/>
    <xf numFmtId="270" fontId="3" fillId="0" borderId="0" applyFont="0" applyFill="0" applyBorder="0" applyAlignment="0" applyProtection="0"/>
    <xf numFmtId="271" fontId="39" fillId="0" borderId="0" applyFill="0" applyBorder="0" applyProtection="0"/>
    <xf numFmtId="271" fontId="39" fillId="0" borderId="7" applyFill="0" applyProtection="0"/>
    <xf numFmtId="271" fontId="39" fillId="0" borderId="7" applyFill="0" applyProtection="0"/>
    <xf numFmtId="271" fontId="39" fillId="0" borderId="26" applyFill="0" applyProtection="0"/>
    <xf numFmtId="272" fontId="98" fillId="0" borderId="0" applyFont="0" applyFill="0" applyBorder="0" applyAlignment="0" applyProtection="0"/>
    <xf numFmtId="273" fontId="123" fillId="0" borderId="0" applyFont="0" applyFill="0" applyBorder="0" applyAlignment="0" applyProtection="0"/>
    <xf numFmtId="274"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275" fontId="6"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276" fontId="123" fillId="0" borderId="0" applyFont="0" applyFill="0" applyBorder="0" applyAlignment="0" applyProtection="0"/>
    <xf numFmtId="196" fontId="103"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38" fontId="6" fillId="0" borderId="0" applyFont="0" applyFill="0" applyBorder="0" applyAlignment="0" applyProtection="0"/>
    <xf numFmtId="277" fontId="113" fillId="0" borderId="0" applyFont="0" applyFill="0" applyBorder="0" applyAlignment="0" applyProtection="0"/>
    <xf numFmtId="278" fontId="46" fillId="0" borderId="0" applyFont="0" applyFill="0" applyBorder="0" applyAlignment="0" applyProtection="0"/>
    <xf numFmtId="279" fontId="113" fillId="0" borderId="0" applyFont="0" applyFill="0" applyBorder="0" applyAlignment="0" applyProtection="0"/>
    <xf numFmtId="280" fontId="113" fillId="0" borderId="0" applyFont="0" applyFill="0" applyBorder="0" applyAlignment="0" applyProtection="0"/>
    <xf numFmtId="281" fontId="46" fillId="0" borderId="0" applyFont="0" applyFill="0" applyBorder="0" applyAlignment="0" applyProtection="0"/>
    <xf numFmtId="282" fontId="113" fillId="0" borderId="0" applyFont="0" applyFill="0" applyBorder="0" applyAlignment="0" applyProtection="0"/>
    <xf numFmtId="283" fontId="113" fillId="0" borderId="0" applyFont="0" applyFill="0" applyBorder="0" applyAlignment="0" applyProtection="0"/>
    <xf numFmtId="284" fontId="46" fillId="0" borderId="0" applyFont="0" applyFill="0" applyBorder="0" applyAlignment="0" applyProtection="0"/>
    <xf numFmtId="285" fontId="113" fillId="0" borderId="0" applyFont="0" applyFill="0" applyBorder="0" applyAlignment="0" applyProtection="0"/>
    <xf numFmtId="44" fontId="10"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286" fontId="6"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287" fontId="6" fillId="0" borderId="0" applyFont="0" applyFill="0" applyBorder="0" applyAlignment="0" applyProtection="0"/>
    <xf numFmtId="206" fontId="8"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89" fontId="46" fillId="0" borderId="0" applyProtection="0"/>
    <xf numFmtId="288" fontId="6"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88" fontId="6" fillId="0" borderId="0" applyFont="0" applyFill="0" applyBorder="0" applyAlignment="0" applyProtection="0"/>
    <xf numFmtId="290" fontId="6" fillId="0" borderId="0"/>
    <xf numFmtId="290" fontId="6" fillId="0" borderId="0"/>
    <xf numFmtId="290" fontId="6" fillId="0" borderId="0"/>
    <xf numFmtId="290" fontId="6" fillId="0" borderId="0"/>
    <xf numFmtId="290" fontId="6" fillId="0" borderId="0"/>
    <xf numFmtId="290" fontId="6" fillId="0" borderId="0"/>
    <xf numFmtId="290" fontId="6" fillId="0" borderId="0"/>
    <xf numFmtId="290" fontId="6" fillId="0" borderId="0"/>
    <xf numFmtId="290" fontId="6" fillId="0" borderId="0"/>
    <xf numFmtId="290" fontId="6" fillId="0" borderId="0" applyProtection="0"/>
    <xf numFmtId="290" fontId="6" fillId="0" borderId="0"/>
    <xf numFmtId="290" fontId="6" fillId="0" borderId="0"/>
    <xf numFmtId="290" fontId="6" fillId="0" borderId="0"/>
    <xf numFmtId="290" fontId="6" fillId="0" borderId="0"/>
    <xf numFmtId="290" fontId="6" fillId="0" borderId="0"/>
    <xf numFmtId="290" fontId="6" fillId="0" borderId="0"/>
    <xf numFmtId="290" fontId="6" fillId="0" borderId="0"/>
    <xf numFmtId="192" fontId="8" fillId="0" borderId="27"/>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46" fillId="0" borderId="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4" fontId="65" fillId="0" borderId="0" applyFill="0" applyBorder="0" applyAlignment="0"/>
    <xf numFmtId="14" fontId="64" fillId="0" borderId="0" applyFill="0" applyBorder="0" applyAlignment="0"/>
    <xf numFmtId="0" fontId="70" fillId="0" borderId="0" applyProtection="0"/>
    <xf numFmtId="3" fontId="124" fillId="0" borderId="8">
      <alignment horizontal="left" vertical="top" wrapText="1"/>
    </xf>
    <xf numFmtId="291" fontId="39" fillId="0" borderId="0" applyFill="0" applyBorder="0" applyProtection="0"/>
    <xf numFmtId="291" fontId="39" fillId="0" borderId="7" applyFill="0" applyProtection="0"/>
    <xf numFmtId="291" fontId="39" fillId="0" borderId="7" applyFill="0" applyProtection="0"/>
    <xf numFmtId="291" fontId="39" fillId="0" borderId="26" applyFill="0" applyProtection="0"/>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292" fontId="6" fillId="0" borderId="28">
      <alignment vertical="center"/>
    </xf>
    <xf numFmtId="0" fontId="6" fillId="0" borderId="0" applyFont="0" applyFill="0" applyBorder="0" applyAlignment="0" applyProtection="0"/>
    <xf numFmtId="0" fontId="6" fillId="0" borderId="0" applyFont="0" applyFill="0" applyBorder="0" applyAlignment="0" applyProtection="0"/>
    <xf numFmtId="293" fontId="8" fillId="0" borderId="0"/>
    <xf numFmtId="294" fontId="51" fillId="0" borderId="2"/>
    <xf numFmtId="294" fontId="51" fillId="0" borderId="2"/>
    <xf numFmtId="261" fontId="6" fillId="0" borderId="0"/>
    <xf numFmtId="261" fontId="6" fillId="0" borderId="0"/>
    <xf numFmtId="261" fontId="6" fillId="0" borderId="0"/>
    <xf numFmtId="261" fontId="6" fillId="0" borderId="0"/>
    <xf numFmtId="261" fontId="6" fillId="0" borderId="0"/>
    <xf numFmtId="261" fontId="6" fillId="0" borderId="0"/>
    <xf numFmtId="261" fontId="6" fillId="0" borderId="0"/>
    <xf numFmtId="261" fontId="6" fillId="0" borderId="0"/>
    <xf numFmtId="261" fontId="6" fillId="0" borderId="0"/>
    <xf numFmtId="261" fontId="6" fillId="0" borderId="0" applyProtection="0"/>
    <xf numFmtId="261" fontId="6" fillId="0" borderId="0"/>
    <xf numFmtId="261" fontId="6" fillId="0" borderId="0"/>
    <xf numFmtId="261" fontId="6" fillId="0" borderId="0"/>
    <xf numFmtId="261" fontId="6" fillId="0" borderId="0"/>
    <xf numFmtId="261" fontId="6" fillId="0" borderId="0"/>
    <xf numFmtId="261" fontId="6" fillId="0" borderId="0"/>
    <xf numFmtId="261" fontId="6" fillId="0" borderId="0"/>
    <xf numFmtId="295" fontId="51" fillId="0" borderId="0"/>
    <xf numFmtId="171" fontId="125" fillId="0" borderId="0" applyFont="0" applyFill="0" applyBorder="0" applyAlignment="0" applyProtection="0"/>
    <xf numFmtId="184" fontId="125" fillId="0" borderId="0" applyFont="0" applyFill="0" applyBorder="0" applyAlignment="0" applyProtection="0"/>
    <xf numFmtId="171" fontId="125" fillId="0" borderId="0" applyFont="0" applyFill="0" applyBorder="0" applyAlignment="0" applyProtection="0"/>
    <xf numFmtId="41" fontId="125" fillId="0" borderId="0" applyFont="0" applyFill="0" applyBorder="0" applyAlignment="0" applyProtection="0"/>
    <xf numFmtId="221" fontId="125" fillId="0" borderId="0" applyFont="0" applyFill="0" applyBorder="0" applyAlignment="0" applyProtection="0"/>
    <xf numFmtId="221" fontId="125" fillId="0" borderId="0" applyFont="0" applyFill="0" applyBorder="0" applyAlignment="0" applyProtection="0"/>
    <xf numFmtId="221" fontId="125" fillId="0" borderId="0" applyFont="0" applyFill="0" applyBorder="0" applyAlignment="0" applyProtection="0"/>
    <xf numFmtId="221" fontId="125" fillId="0" borderId="0" applyFont="0" applyFill="0" applyBorder="0" applyAlignment="0" applyProtection="0"/>
    <xf numFmtId="221" fontId="125" fillId="0" borderId="0" applyFont="0" applyFill="0" applyBorder="0" applyAlignment="0" applyProtection="0"/>
    <xf numFmtId="221" fontId="125" fillId="0" borderId="0" applyFont="0" applyFill="0" applyBorder="0" applyAlignment="0" applyProtection="0"/>
    <xf numFmtId="221" fontId="125" fillId="0" borderId="0" applyFont="0" applyFill="0" applyBorder="0" applyAlignment="0" applyProtection="0"/>
    <xf numFmtId="221" fontId="125" fillId="0" borderId="0" applyFont="0" applyFill="0" applyBorder="0" applyAlignment="0" applyProtection="0"/>
    <xf numFmtId="221" fontId="125" fillId="0" borderId="0" applyFont="0" applyFill="0" applyBorder="0" applyAlignment="0" applyProtection="0"/>
    <xf numFmtId="221" fontId="125" fillId="0" borderId="0" applyFont="0" applyFill="0" applyBorder="0" applyAlignment="0" applyProtection="0"/>
    <xf numFmtId="221" fontId="125" fillId="0" borderId="0" applyFont="0" applyFill="0" applyBorder="0" applyAlignment="0" applyProtection="0"/>
    <xf numFmtId="221" fontId="125" fillId="0" borderId="0" applyFont="0" applyFill="0" applyBorder="0" applyAlignment="0" applyProtection="0"/>
    <xf numFmtId="296" fontId="82" fillId="0" borderId="0" applyFont="0" applyFill="0" applyBorder="0" applyAlignment="0" applyProtection="0"/>
    <xf numFmtId="296" fontId="82"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296" fontId="82" fillId="0" borderId="0" applyFont="0" applyFill="0" applyBorder="0" applyAlignment="0" applyProtection="0"/>
    <xf numFmtId="296" fontId="82" fillId="0" borderId="0" applyFont="0" applyFill="0" applyBorder="0" applyAlignment="0" applyProtection="0"/>
    <xf numFmtId="171" fontId="125" fillId="0" borderId="0" applyFont="0" applyFill="0" applyBorder="0" applyAlignment="0" applyProtection="0"/>
    <xf numFmtId="171" fontId="125" fillId="0" borderId="0" applyFont="0" applyFill="0" applyBorder="0" applyAlignment="0" applyProtection="0"/>
    <xf numFmtId="296" fontId="82" fillId="0" borderId="0" applyFont="0" applyFill="0" applyBorder="0" applyAlignment="0" applyProtection="0"/>
    <xf numFmtId="296" fontId="82" fillId="0" borderId="0" applyFont="0" applyFill="0" applyBorder="0" applyAlignment="0" applyProtection="0"/>
    <xf numFmtId="297" fontId="8" fillId="0" borderId="0" applyFont="0" applyFill="0" applyBorder="0" applyAlignment="0" applyProtection="0"/>
    <xf numFmtId="297" fontId="8" fillId="0" borderId="0" applyFont="0" applyFill="0" applyBorder="0" applyAlignment="0" applyProtection="0"/>
    <xf numFmtId="298" fontId="8" fillId="0" borderId="0" applyFont="0" applyFill="0" applyBorder="0" applyAlignment="0" applyProtection="0"/>
    <xf numFmtId="298" fontId="8" fillId="0" borderId="0" applyFont="0" applyFill="0" applyBorder="0" applyAlignment="0" applyProtection="0"/>
    <xf numFmtId="41" fontId="125" fillId="0" borderId="0" applyFont="0" applyFill="0" applyBorder="0" applyAlignment="0" applyProtection="0"/>
    <xf numFmtId="41" fontId="125" fillId="0" borderId="0" applyFont="0" applyFill="0" applyBorder="0" applyAlignment="0" applyProtection="0"/>
    <xf numFmtId="41" fontId="125" fillId="0" borderId="0" applyFont="0" applyFill="0" applyBorder="0" applyAlignment="0" applyProtection="0"/>
    <xf numFmtId="41" fontId="125" fillId="0" borderId="0" applyFont="0" applyFill="0" applyBorder="0" applyAlignment="0" applyProtection="0"/>
    <xf numFmtId="41" fontId="125" fillId="0" borderId="0" applyFont="0" applyFill="0" applyBorder="0" applyAlignment="0" applyProtection="0"/>
    <xf numFmtId="41" fontId="125"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165" fontId="125" fillId="0" borderId="0" applyFont="0" applyFill="0" applyBorder="0" applyAlignment="0" applyProtection="0"/>
    <xf numFmtId="41" fontId="125" fillId="0" borderId="0" applyFont="0" applyFill="0" applyBorder="0" applyAlignment="0" applyProtection="0"/>
    <xf numFmtId="165" fontId="125" fillId="0" borderId="0" applyFont="0" applyFill="0" applyBorder="0" applyAlignment="0" applyProtection="0"/>
    <xf numFmtId="165" fontId="125" fillId="0" borderId="0" applyFont="0" applyFill="0" applyBorder="0" applyAlignment="0" applyProtection="0"/>
    <xf numFmtId="165" fontId="125" fillId="0" borderId="0" applyFont="0" applyFill="0" applyBorder="0" applyAlignment="0" applyProtection="0"/>
    <xf numFmtId="165" fontId="125" fillId="0" borderId="0" applyFont="0" applyFill="0" applyBorder="0" applyAlignment="0" applyProtection="0"/>
    <xf numFmtId="41" fontId="125" fillId="0" borderId="0" applyFont="0" applyFill="0" applyBorder="0" applyAlignment="0" applyProtection="0"/>
    <xf numFmtId="171" fontId="125" fillId="0" borderId="0" applyFont="0" applyFill="0" applyBorder="0" applyAlignment="0" applyProtection="0"/>
    <xf numFmtId="41" fontId="125" fillId="0" borderId="0" applyFont="0" applyFill="0" applyBorder="0" applyAlignment="0" applyProtection="0"/>
    <xf numFmtId="171" fontId="125" fillId="0" borderId="0" applyFont="0" applyFill="0" applyBorder="0" applyAlignment="0" applyProtection="0"/>
    <xf numFmtId="41" fontId="125" fillId="0" borderId="0" applyFont="0" applyFill="0" applyBorder="0" applyAlignment="0" applyProtection="0"/>
    <xf numFmtId="41" fontId="125" fillId="0" borderId="0" applyFont="0" applyFill="0" applyBorder="0" applyAlignment="0" applyProtection="0"/>
    <xf numFmtId="165" fontId="125" fillId="0" borderId="0" applyFont="0" applyFill="0" applyBorder="0" applyAlignment="0" applyProtection="0"/>
    <xf numFmtId="165" fontId="125" fillId="0" borderId="0" applyFont="0" applyFill="0" applyBorder="0" applyAlignment="0" applyProtection="0"/>
    <xf numFmtId="41" fontId="125" fillId="0" borderId="0" applyFont="0" applyFill="0" applyBorder="0" applyAlignment="0" applyProtection="0"/>
    <xf numFmtId="184" fontId="125" fillId="0" borderId="0" applyFont="0" applyFill="0" applyBorder="0" applyAlignment="0" applyProtection="0"/>
    <xf numFmtId="43" fontId="125" fillId="0" borderId="0" applyFont="0" applyFill="0" applyBorder="0" applyAlignment="0" applyProtection="0"/>
    <xf numFmtId="172" fontId="125" fillId="0" borderId="0" applyFont="0" applyFill="0" applyBorder="0" applyAlignment="0" applyProtection="0"/>
    <xf numFmtId="172" fontId="125" fillId="0" borderId="0" applyFont="0" applyFill="0" applyBorder="0" applyAlignment="0" applyProtection="0"/>
    <xf numFmtId="172" fontId="125" fillId="0" borderId="0" applyFont="0" applyFill="0" applyBorder="0" applyAlignment="0" applyProtection="0"/>
    <xf numFmtId="172" fontId="125" fillId="0" borderId="0" applyFont="0" applyFill="0" applyBorder="0" applyAlignment="0" applyProtection="0"/>
    <xf numFmtId="172" fontId="125" fillId="0" borderId="0" applyFont="0" applyFill="0" applyBorder="0" applyAlignment="0" applyProtection="0"/>
    <xf numFmtId="172" fontId="125" fillId="0" borderId="0" applyFont="0" applyFill="0" applyBorder="0" applyAlignment="0" applyProtection="0"/>
    <xf numFmtId="172" fontId="125" fillId="0" borderId="0" applyFont="0" applyFill="0" applyBorder="0" applyAlignment="0" applyProtection="0"/>
    <xf numFmtId="172" fontId="125" fillId="0" borderId="0" applyFont="0" applyFill="0" applyBorder="0" applyAlignment="0" applyProtection="0"/>
    <xf numFmtId="172" fontId="125" fillId="0" borderId="0" applyFont="0" applyFill="0" applyBorder="0" applyAlignment="0" applyProtection="0"/>
    <xf numFmtId="172" fontId="125" fillId="0" borderId="0" applyFont="0" applyFill="0" applyBorder="0" applyAlignment="0" applyProtection="0"/>
    <xf numFmtId="172" fontId="125" fillId="0" borderId="0" applyFont="0" applyFill="0" applyBorder="0" applyAlignment="0" applyProtection="0"/>
    <xf numFmtId="172" fontId="125" fillId="0" borderId="0" applyFont="0" applyFill="0" applyBorder="0" applyAlignment="0" applyProtection="0"/>
    <xf numFmtId="299" fontId="82" fillId="0" borderId="0" applyFont="0" applyFill="0" applyBorder="0" applyAlignment="0" applyProtection="0"/>
    <xf numFmtId="299" fontId="82"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299" fontId="82" fillId="0" borderId="0" applyFont="0" applyFill="0" applyBorder="0" applyAlignment="0" applyProtection="0"/>
    <xf numFmtId="299" fontId="82" fillId="0" borderId="0" applyFont="0" applyFill="0" applyBorder="0" applyAlignment="0" applyProtection="0"/>
    <xf numFmtId="184" fontId="125" fillId="0" borderId="0" applyFont="0" applyFill="0" applyBorder="0" applyAlignment="0" applyProtection="0"/>
    <xf numFmtId="184" fontId="125" fillId="0" borderId="0" applyFont="0" applyFill="0" applyBorder="0" applyAlignment="0" applyProtection="0"/>
    <xf numFmtId="299" fontId="82" fillId="0" borderId="0" applyFont="0" applyFill="0" applyBorder="0" applyAlignment="0" applyProtection="0"/>
    <xf numFmtId="299" fontId="82" fillId="0" borderId="0" applyFont="0" applyFill="0" applyBorder="0" applyAlignment="0" applyProtection="0"/>
    <xf numFmtId="185" fontId="8" fillId="0" borderId="0" applyFont="0" applyFill="0" applyBorder="0" applyAlignment="0" applyProtection="0"/>
    <xf numFmtId="185" fontId="8" fillId="0" borderId="0" applyFont="0" applyFill="0" applyBorder="0" applyAlignment="0" applyProtection="0"/>
    <xf numFmtId="300" fontId="8" fillId="0" borderId="0" applyFont="0" applyFill="0" applyBorder="0" applyAlignment="0" applyProtection="0"/>
    <xf numFmtId="300" fontId="8" fillId="0" borderId="0" applyFont="0" applyFill="0" applyBorder="0" applyAlignment="0" applyProtection="0"/>
    <xf numFmtId="43" fontId="125" fillId="0" borderId="0" applyFont="0" applyFill="0" applyBorder="0" applyAlignment="0" applyProtection="0"/>
    <xf numFmtId="43" fontId="125" fillId="0" borderId="0" applyFont="0" applyFill="0" applyBorder="0" applyAlignment="0" applyProtection="0"/>
    <xf numFmtId="43" fontId="125" fillId="0" borderId="0" applyFont="0" applyFill="0" applyBorder="0" applyAlignment="0" applyProtection="0"/>
    <xf numFmtId="43" fontId="125" fillId="0" borderId="0" applyFont="0" applyFill="0" applyBorder="0" applyAlignment="0" applyProtection="0"/>
    <xf numFmtId="43" fontId="125" fillId="0" borderId="0" applyFont="0" applyFill="0" applyBorder="0" applyAlignment="0" applyProtection="0"/>
    <xf numFmtId="43" fontId="125"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167" fontId="125" fillId="0" borderId="0" applyFont="0" applyFill="0" applyBorder="0" applyAlignment="0" applyProtection="0"/>
    <xf numFmtId="43" fontId="125" fillId="0" borderId="0" applyFont="0" applyFill="0" applyBorder="0" applyAlignment="0" applyProtection="0"/>
    <xf numFmtId="167" fontId="125" fillId="0" borderId="0" applyFont="0" applyFill="0" applyBorder="0" applyAlignment="0" applyProtection="0"/>
    <xf numFmtId="167" fontId="125" fillId="0" borderId="0" applyFont="0" applyFill="0" applyBorder="0" applyAlignment="0" applyProtection="0"/>
    <xf numFmtId="167" fontId="125" fillId="0" borderId="0" applyFont="0" applyFill="0" applyBorder="0" applyAlignment="0" applyProtection="0"/>
    <xf numFmtId="167" fontId="125" fillId="0" borderId="0" applyFont="0" applyFill="0" applyBorder="0" applyAlignment="0" applyProtection="0"/>
    <xf numFmtId="43" fontId="125" fillId="0" borderId="0" applyFont="0" applyFill="0" applyBorder="0" applyAlignment="0" applyProtection="0"/>
    <xf numFmtId="184" fontId="125" fillId="0" borderId="0" applyFont="0" applyFill="0" applyBorder="0" applyAlignment="0" applyProtection="0"/>
    <xf numFmtId="43" fontId="125" fillId="0" borderId="0" applyFont="0" applyFill="0" applyBorder="0" applyAlignment="0" applyProtection="0"/>
    <xf numFmtId="184" fontId="125" fillId="0" borderId="0" applyFont="0" applyFill="0" applyBorder="0" applyAlignment="0" applyProtection="0"/>
    <xf numFmtId="43" fontId="125" fillId="0" borderId="0" applyFont="0" applyFill="0" applyBorder="0" applyAlignment="0" applyProtection="0"/>
    <xf numFmtId="43" fontId="125" fillId="0" borderId="0" applyFont="0" applyFill="0" applyBorder="0" applyAlignment="0" applyProtection="0"/>
    <xf numFmtId="167" fontId="125" fillId="0" borderId="0" applyFont="0" applyFill="0" applyBorder="0" applyAlignment="0" applyProtection="0"/>
    <xf numFmtId="167" fontId="125" fillId="0" borderId="0" applyFont="0" applyFill="0" applyBorder="0" applyAlignment="0" applyProtection="0"/>
    <xf numFmtId="43" fontId="125" fillId="0" borderId="0" applyFont="0" applyFill="0" applyBorder="0" applyAlignment="0" applyProtection="0"/>
    <xf numFmtId="3" fontId="8" fillId="0" borderId="0" applyFont="0" applyBorder="0" applyAlignment="0"/>
    <xf numFmtId="0" fontId="82"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196" fontId="103"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188" fontId="103"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5" fontId="103"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196" fontId="103"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0" fontId="127" fillId="0" borderId="0" applyNumberFormat="0" applyAlignment="0">
      <alignment horizontal="left"/>
    </xf>
    <xf numFmtId="0" fontId="128" fillId="0" borderId="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301" fontId="6" fillId="0" borderId="0" applyFont="0" applyFill="0" applyBorder="0" applyAlignment="0" applyProtection="0"/>
    <xf numFmtId="0" fontId="129" fillId="0" borderId="0"/>
    <xf numFmtId="0" fontId="130" fillId="0" borderId="0" applyNumberFormat="0" applyFill="0" applyBorder="0" applyAlignment="0" applyProtection="0"/>
    <xf numFmtId="3" fontId="8" fillId="0" borderId="0" applyFont="0" applyBorder="0" applyAlignment="0"/>
    <xf numFmtId="0" fontId="6" fillId="0" borderId="0"/>
    <xf numFmtId="0" fontId="6" fillId="0" borderId="0"/>
    <xf numFmtId="0" fontId="6" fillId="0" borderId="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46" fillId="0" borderId="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0" fontId="131" fillId="0" borderId="0" applyNumberFormat="0" applyFill="0" applyBorder="0" applyAlignment="0" applyProtection="0"/>
    <xf numFmtId="0" fontId="132" fillId="0" borderId="0" applyNumberFormat="0" applyFill="0" applyBorder="0" applyProtection="0">
      <alignment vertical="center"/>
    </xf>
    <xf numFmtId="0" fontId="133" fillId="0" borderId="0" applyNumberFormat="0" applyFill="0" applyBorder="0" applyAlignment="0" applyProtection="0"/>
    <xf numFmtId="0" fontId="134" fillId="0" borderId="0" applyNumberFormat="0" applyFill="0" applyBorder="0" applyProtection="0">
      <alignment vertical="center"/>
    </xf>
    <xf numFmtId="0" fontId="135" fillId="0" borderId="0" applyNumberFormat="0" applyFill="0" applyBorder="0" applyAlignment="0" applyProtection="0"/>
    <xf numFmtId="0" fontId="136" fillId="0" borderId="0" applyNumberFormat="0" applyFill="0" applyBorder="0" applyAlignment="0" applyProtection="0"/>
    <xf numFmtId="302" fontId="137" fillId="0" borderId="29" applyNumberFormat="0" applyFill="0" applyBorder="0" applyAlignment="0" applyProtection="0"/>
    <xf numFmtId="0" fontId="138" fillId="0" borderId="0" applyNumberFormat="0" applyFill="0" applyBorder="0" applyAlignment="0" applyProtection="0"/>
    <xf numFmtId="0" fontId="139" fillId="0" borderId="0">
      <alignment vertical="top" wrapText="1"/>
    </xf>
    <xf numFmtId="3" fontId="8" fillId="31" borderId="30">
      <alignment horizontal="right" vertical="top" wrapText="1"/>
    </xf>
    <xf numFmtId="3" fontId="8" fillId="31" borderId="30">
      <alignment horizontal="right" vertical="top" wrapText="1"/>
    </xf>
    <xf numFmtId="3" fontId="8" fillId="31" borderId="30">
      <alignment horizontal="right" vertical="top" wrapText="1"/>
    </xf>
    <xf numFmtId="3" fontId="8" fillId="31" borderId="30">
      <alignment horizontal="right" vertical="top" wrapText="1"/>
    </xf>
    <xf numFmtId="0" fontId="140" fillId="13" borderId="0" applyNumberFormat="0" applyBorder="0" applyAlignment="0" applyProtection="0"/>
    <xf numFmtId="38" fontId="141" fillId="9"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9"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8" fontId="141" fillId="32" borderId="0" applyNumberFormat="0" applyBorder="0" applyAlignment="0" applyProtection="0"/>
    <xf numFmtId="303" fontId="2" fillId="9" borderId="0" applyBorder="0" applyProtection="0"/>
    <xf numFmtId="0" fontId="142" fillId="0" borderId="31" applyNumberFormat="0" applyFill="0" applyBorder="0" applyAlignment="0" applyProtection="0">
      <alignment horizontal="center" vertical="center"/>
    </xf>
    <xf numFmtId="0" fontId="143" fillId="0" borderId="0" applyNumberFormat="0" applyFont="0" applyBorder="0" applyAlignment="0">
      <alignment horizontal="left" vertical="center"/>
    </xf>
    <xf numFmtId="304" fontId="98" fillId="0" borderId="0" applyFont="0" applyFill="0" applyBorder="0" applyAlignment="0" applyProtection="0"/>
    <xf numFmtId="0" fontId="144" fillId="33" borderId="0"/>
    <xf numFmtId="0" fontId="145" fillId="0" borderId="0">
      <alignment horizontal="left"/>
    </xf>
    <xf numFmtId="0" fontId="146" fillId="0" borderId="0">
      <alignment horizontal="left"/>
    </xf>
    <xf numFmtId="0" fontId="61" fillId="0" borderId="32" applyNumberFormat="0" applyAlignment="0" applyProtection="0">
      <alignment horizontal="left" vertical="center"/>
    </xf>
    <xf numFmtId="0" fontId="61" fillId="0" borderId="32" applyNumberFormat="0" applyAlignment="0" applyProtection="0">
      <alignment horizontal="left" vertical="center"/>
    </xf>
    <xf numFmtId="0" fontId="61" fillId="0" borderId="4">
      <alignment horizontal="left" vertical="center"/>
    </xf>
    <xf numFmtId="0" fontId="61" fillId="0" borderId="4">
      <alignment horizontal="left" vertical="center"/>
    </xf>
    <xf numFmtId="0" fontId="61" fillId="0" borderId="4">
      <alignment horizontal="left" vertical="center"/>
    </xf>
    <xf numFmtId="0" fontId="61" fillId="0" borderId="4">
      <alignment horizontal="left" vertical="center"/>
    </xf>
    <xf numFmtId="0" fontId="61" fillId="0" borderId="4">
      <alignment horizontal="left" vertical="center"/>
    </xf>
    <xf numFmtId="0" fontId="61" fillId="0" borderId="4">
      <alignment horizontal="left" vertical="center"/>
    </xf>
    <xf numFmtId="0" fontId="61" fillId="0" borderId="4">
      <alignment horizontal="left" vertical="center"/>
    </xf>
    <xf numFmtId="0" fontId="61" fillId="0" borderId="4">
      <alignment horizontal="left" vertical="center"/>
    </xf>
    <xf numFmtId="14" fontId="147" fillId="34" borderId="33">
      <alignment horizontal="center" vertical="center" wrapText="1"/>
    </xf>
    <xf numFmtId="0" fontId="148" fillId="0" borderId="34" applyNumberFormat="0" applyFill="0" applyAlignment="0" applyProtection="0"/>
    <xf numFmtId="0" fontId="149" fillId="0" borderId="35" applyNumberFormat="0" applyFill="0" applyAlignment="0" applyProtection="0"/>
    <xf numFmtId="0" fontId="150" fillId="0" borderId="36" applyNumberFormat="0" applyFill="0" applyAlignment="0" applyProtection="0"/>
    <xf numFmtId="0" fontId="150" fillId="0" borderId="0" applyNumberFormat="0" applyFill="0" applyBorder="0" applyAlignment="0" applyProtection="0"/>
    <xf numFmtId="0" fontId="107" fillId="0" borderId="0" applyFill="0" applyAlignment="0" applyProtection="0">
      <protection locked="0"/>
    </xf>
    <xf numFmtId="0" fontId="107" fillId="0" borderId="1" applyFill="0" applyAlignment="0" applyProtection="0">
      <protection locked="0"/>
    </xf>
    <xf numFmtId="0" fontId="151" fillId="0" borderId="0" applyProtection="0"/>
    <xf numFmtId="0" fontId="61" fillId="0" borderId="0" applyProtection="0"/>
    <xf numFmtId="0" fontId="152" fillId="0" borderId="33">
      <alignment horizontal="center"/>
    </xf>
    <xf numFmtId="0" fontId="152" fillId="0" borderId="0">
      <alignment horizontal="center"/>
    </xf>
    <xf numFmtId="5" fontId="153" fillId="35" borderId="2" applyNumberFormat="0" applyAlignment="0">
      <alignment horizontal="left" vertical="top"/>
    </xf>
    <xf numFmtId="5" fontId="153" fillId="35" borderId="2" applyNumberFormat="0" applyAlignment="0">
      <alignment horizontal="left" vertical="top"/>
    </xf>
    <xf numFmtId="305" fontId="153" fillId="35" borderId="2" applyNumberFormat="0" applyAlignment="0">
      <alignment horizontal="left" vertical="top"/>
    </xf>
    <xf numFmtId="49" fontId="154" fillId="0" borderId="2">
      <alignment vertical="center"/>
    </xf>
    <xf numFmtId="49" fontId="154" fillId="0" borderId="2">
      <alignment vertical="center"/>
    </xf>
    <xf numFmtId="0" fontId="39" fillId="0" borderId="0"/>
    <xf numFmtId="171" fontId="8" fillId="0" borderId="0" applyFont="0" applyFill="0" applyBorder="0" applyAlignment="0" applyProtection="0"/>
    <xf numFmtId="38" fontId="66" fillId="0" borderId="0" applyFont="0" applyFill="0" applyBorder="0" applyAlignment="0" applyProtection="0"/>
    <xf numFmtId="41" fontId="62" fillId="0" borderId="0" applyFont="0" applyFill="0" applyBorder="0" applyAlignment="0" applyProtection="0"/>
    <xf numFmtId="227" fontId="62" fillId="0" borderId="0" applyFont="0" applyFill="0" applyBorder="0" applyAlignment="0" applyProtection="0"/>
    <xf numFmtId="306" fontId="155" fillId="0" borderId="0" applyFont="0" applyFill="0" applyBorder="0" applyAlignment="0" applyProtection="0"/>
    <xf numFmtId="10" fontId="141" fillId="36"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6" borderId="2" applyNumberFormat="0" applyBorder="0" applyAlignment="0" applyProtection="0"/>
    <xf numFmtId="10" fontId="141" fillId="36"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10" fontId="141" fillId="32" borderId="2" applyNumberFormat="0" applyBorder="0" applyAlignment="0" applyProtection="0"/>
    <xf numFmtId="0" fontId="156" fillId="16" borderId="24" applyNumberFormat="0" applyAlignment="0" applyProtection="0"/>
    <xf numFmtId="0" fontId="156" fillId="16" borderId="24" applyNumberFormat="0" applyAlignment="0" applyProtection="0"/>
    <xf numFmtId="0" fontId="156" fillId="16" borderId="24" applyNumberFormat="0" applyAlignment="0" applyProtection="0"/>
    <xf numFmtId="0" fontId="156" fillId="16" borderId="24" applyNumberFormat="0" applyAlignment="0" applyProtection="0"/>
    <xf numFmtId="0" fontId="156" fillId="16" borderId="24" applyNumberFormat="0" applyAlignment="0" applyProtection="0"/>
    <xf numFmtId="0" fontId="156" fillId="16" borderId="24" applyNumberFormat="0" applyAlignment="0" applyProtection="0"/>
    <xf numFmtId="0" fontId="157"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9"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0" fontId="158" fillId="0" borderId="0" applyNumberFormat="0" applyFill="0" applyBorder="0" applyAlignment="0" applyProtection="0">
      <alignment vertical="top"/>
      <protection locked="0"/>
    </xf>
    <xf numFmtId="171" fontId="8" fillId="0" borderId="0" applyFont="0" applyFill="0" applyBorder="0" applyAlignment="0" applyProtection="0"/>
    <xf numFmtId="0" fontId="8" fillId="0" borderId="0"/>
    <xf numFmtId="0" fontId="91" fillId="0" borderId="37">
      <alignment horizontal="centerContinuous"/>
    </xf>
    <xf numFmtId="168" fontId="8" fillId="37" borderId="30">
      <alignment vertical="top" wrapText="1"/>
    </xf>
    <xf numFmtId="168" fontId="8" fillId="37" borderId="30">
      <alignment vertical="top" wrapText="1"/>
    </xf>
    <xf numFmtId="168" fontId="8" fillId="37" borderId="30">
      <alignment vertical="top" wrapText="1"/>
    </xf>
    <xf numFmtId="168" fontId="8" fillId="37" borderId="30">
      <alignment vertical="top" wrapText="1"/>
    </xf>
    <xf numFmtId="0" fontId="66" fillId="0" borderId="0"/>
    <xf numFmtId="0" fontId="38" fillId="0" borderId="0"/>
    <xf numFmtId="0" fontId="38" fillId="0" borderId="0"/>
    <xf numFmtId="0" fontId="70" fillId="0" borderId="0"/>
    <xf numFmtId="0" fontId="204" fillId="0" borderId="0"/>
    <xf numFmtId="0" fontId="39" fillId="0" borderId="0" applyNumberFormat="0" applyFont="0" applyFill="0" applyBorder="0" applyProtection="0">
      <alignment horizontal="left" vertical="center"/>
    </xf>
    <xf numFmtId="0" fontId="66" fillId="0" borderId="0"/>
    <xf numFmtId="0" fontId="82"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196" fontId="103"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188" fontId="103"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5" fontId="103"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196" fontId="103"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0" fontId="160" fillId="0" borderId="38" applyNumberFormat="0" applyFill="0" applyAlignment="0" applyProtection="0"/>
    <xf numFmtId="3" fontId="161" fillId="0" borderId="8" applyNumberFormat="0" applyAlignment="0">
      <alignment horizontal="center" vertical="center"/>
    </xf>
    <xf numFmtId="3" fontId="77" fillId="0" borderId="8" applyNumberFormat="0" applyAlignment="0">
      <alignment horizontal="center" vertical="center"/>
    </xf>
    <xf numFmtId="3" fontId="153" fillId="0" borderId="8" applyNumberFormat="0" applyAlignment="0">
      <alignment horizontal="center" vertical="center"/>
    </xf>
    <xf numFmtId="192" fontId="162" fillId="0" borderId="9" applyNumberFormat="0" applyFont="0" applyFill="0" applyBorder="0">
      <alignment horizontal="center"/>
    </xf>
    <xf numFmtId="192" fontId="162" fillId="0" borderId="9" applyNumberFormat="0" applyFont="0" applyFill="0" applyBorder="0">
      <alignment horizontal="center"/>
    </xf>
    <xf numFmtId="38" fontId="66" fillId="0" borderId="0" applyFont="0" applyFill="0" applyBorder="0" applyAlignment="0" applyProtection="0"/>
    <xf numFmtId="4" fontId="103" fillId="0" borderId="0" applyFont="0" applyFill="0" applyBorder="0" applyAlignment="0" applyProtection="0"/>
    <xf numFmtId="38" fontId="66" fillId="0" borderId="0" applyFont="0" applyFill="0" applyBorder="0" applyAlignment="0" applyProtection="0"/>
    <xf numFmtId="40" fontId="66" fillId="0" borderId="0" applyFont="0" applyFill="0" applyBorder="0" applyAlignment="0" applyProtection="0"/>
    <xf numFmtId="171" fontId="82" fillId="0" borderId="0" applyFont="0" applyFill="0" applyBorder="0" applyAlignment="0" applyProtection="0"/>
    <xf numFmtId="184" fontId="82" fillId="0" borderId="0" applyFont="0" applyFill="0" applyBorder="0" applyAlignment="0" applyProtection="0"/>
    <xf numFmtId="0" fontId="163" fillId="0" borderId="33"/>
    <xf numFmtId="0" fontId="164" fillId="0" borderId="33"/>
    <xf numFmtId="183" fontId="82" fillId="0" borderId="9"/>
    <xf numFmtId="183" fontId="82" fillId="0" borderId="9"/>
    <xf numFmtId="307" fontId="165" fillId="0" borderId="9"/>
    <xf numFmtId="308" fontId="87" fillId="0" borderId="0" applyFont="0" applyFill="0" applyBorder="0" applyAlignment="0" applyProtection="0"/>
    <xf numFmtId="309" fontId="87" fillId="0" borderId="0" applyFont="0" applyFill="0" applyBorder="0" applyAlignment="0" applyProtection="0"/>
    <xf numFmtId="310" fontId="82" fillId="0" borderId="0" applyFont="0" applyFill="0" applyBorder="0" applyAlignment="0" applyProtection="0"/>
    <xf numFmtId="311" fontId="82" fillId="0" borderId="0" applyFont="0" applyFill="0" applyBorder="0" applyAlignment="0" applyProtection="0"/>
    <xf numFmtId="0" fontId="70" fillId="0" borderId="0" applyNumberFormat="0" applyFont="0" applyFill="0" applyAlignment="0"/>
    <xf numFmtId="0" fontId="10" fillId="0" borderId="0"/>
    <xf numFmtId="0" fontId="166" fillId="38" borderId="0" applyNumberFormat="0" applyBorder="0" applyAlignment="0" applyProtection="0"/>
    <xf numFmtId="0" fontId="98" fillId="0" borderId="2"/>
    <xf numFmtId="0" fontId="39" fillId="0" borderId="0"/>
    <xf numFmtId="0" fontId="51" fillId="0" borderId="17" applyNumberFormat="0" applyAlignment="0">
      <alignment horizontal="center"/>
    </xf>
    <xf numFmtId="0" fontId="51" fillId="0" borderId="17" applyNumberFormat="0" applyAlignment="0">
      <alignment horizontal="center"/>
    </xf>
    <xf numFmtId="0" fontId="51" fillId="0" borderId="17" applyNumberFormat="0" applyAlignment="0">
      <alignment horizontal="center"/>
    </xf>
    <xf numFmtId="0" fontId="51" fillId="0" borderId="17" applyNumberFormat="0" applyAlignment="0">
      <alignment horizontal="center"/>
    </xf>
    <xf numFmtId="37" fontId="167" fillId="0" borderId="0"/>
    <xf numFmtId="37" fontId="167" fillId="0" borderId="0"/>
    <xf numFmtId="37" fontId="167" fillId="0" borderId="0"/>
    <xf numFmtId="0" fontId="168" fillId="0" borderId="2" applyNumberFormat="0" applyFont="0" applyFill="0" applyBorder="0" applyAlignment="0">
      <alignment horizontal="center"/>
    </xf>
    <xf numFmtId="0" fontId="168" fillId="0" borderId="2" applyNumberFormat="0" applyFont="0" applyFill="0" applyBorder="0" applyAlignment="0">
      <alignment horizontal="center"/>
    </xf>
    <xf numFmtId="312" fontId="8" fillId="0" borderId="0"/>
    <xf numFmtId="0" fontId="169" fillId="0" borderId="0"/>
    <xf numFmtId="0" fontId="6" fillId="0" borderId="0"/>
    <xf numFmtId="0" fontId="6" fillId="0" borderId="0"/>
    <xf numFmtId="0" fontId="170" fillId="0" borderId="0"/>
    <xf numFmtId="0" fontId="171" fillId="0" borderId="0"/>
    <xf numFmtId="0" fontId="10" fillId="0" borderId="0"/>
    <xf numFmtId="0" fontId="8" fillId="0" borderId="0"/>
    <xf numFmtId="0" fontId="1" fillId="0" borderId="0"/>
    <xf numFmtId="0" fontId="24" fillId="0" borderId="0"/>
    <xf numFmtId="0" fontId="10" fillId="0" borderId="0"/>
    <xf numFmtId="0" fontId="10" fillId="0" borderId="0"/>
    <xf numFmtId="0" fontId="43" fillId="0" borderId="0"/>
    <xf numFmtId="0" fontId="1" fillId="0" borderId="0"/>
    <xf numFmtId="0" fontId="10" fillId="0" borderId="0"/>
    <xf numFmtId="0" fontId="6" fillId="0" borderId="0"/>
    <xf numFmtId="0" fontId="206" fillId="0" borderId="0"/>
    <xf numFmtId="0" fontId="6" fillId="0" borderId="0"/>
    <xf numFmtId="0" fontId="17" fillId="0" borderId="0"/>
    <xf numFmtId="0" fontId="172" fillId="0" borderId="0"/>
    <xf numFmtId="0" fontId="1" fillId="0" borderId="0"/>
    <xf numFmtId="0" fontId="1" fillId="0" borderId="0"/>
    <xf numFmtId="0" fontId="1" fillId="0" borderId="0"/>
    <xf numFmtId="0" fontId="1" fillId="0" borderId="0"/>
    <xf numFmtId="0" fontId="1" fillId="0" borderId="0"/>
    <xf numFmtId="0" fontId="1" fillId="0" borderId="0"/>
    <xf numFmtId="0" fontId="207" fillId="0" borderId="0"/>
    <xf numFmtId="0" fontId="73" fillId="0" borderId="0"/>
    <xf numFmtId="0" fontId="82" fillId="0" borderId="0"/>
    <xf numFmtId="0" fontId="208" fillId="0" borderId="0"/>
    <xf numFmtId="0" fontId="8" fillId="0" borderId="0"/>
    <xf numFmtId="0" fontId="6"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0" fillId="0" borderId="0"/>
    <xf numFmtId="0" fontId="43" fillId="0" borderId="0"/>
    <xf numFmtId="0" fontId="8" fillId="0" borderId="0"/>
    <xf numFmtId="0" fontId="10" fillId="0" borderId="0"/>
    <xf numFmtId="0" fontId="6" fillId="0" borderId="0"/>
    <xf numFmtId="0" fontId="8" fillId="0" borderId="0"/>
    <xf numFmtId="0" fontId="82" fillId="0" borderId="0"/>
    <xf numFmtId="0" fontId="10" fillId="0" borderId="0"/>
    <xf numFmtId="0" fontId="8" fillId="0" borderId="0"/>
    <xf numFmtId="0" fontId="38" fillId="0" borderId="0"/>
    <xf numFmtId="0" fontId="70" fillId="0" borderId="0"/>
    <xf numFmtId="0" fontId="24" fillId="0" borderId="0"/>
    <xf numFmtId="0" fontId="24" fillId="0" borderId="0"/>
    <xf numFmtId="0" fontId="6"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applyProtection="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6" fillId="0" borderId="0"/>
    <xf numFmtId="0" fontId="6" fillId="0" borderId="0"/>
    <xf numFmtId="0" fontId="6" fillId="0" borderId="0"/>
    <xf numFmtId="0" fontId="10" fillId="0" borderId="0"/>
    <xf numFmtId="0" fontId="207" fillId="0" borderId="0"/>
    <xf numFmtId="0" fontId="6" fillId="0" borderId="0"/>
    <xf numFmtId="0" fontId="6" fillId="0" borderId="0"/>
    <xf numFmtId="0" fontId="38" fillId="0" borderId="0"/>
    <xf numFmtId="0" fontId="10" fillId="0" borderId="0"/>
    <xf numFmtId="0" fontId="38" fillId="0" borderId="0"/>
    <xf numFmtId="0" fontId="10" fillId="0" borderId="0"/>
    <xf numFmtId="0" fontId="38" fillId="0" borderId="0"/>
    <xf numFmtId="0" fontId="51" fillId="0" borderId="0"/>
    <xf numFmtId="0" fontId="38" fillId="0" borderId="0"/>
    <xf numFmtId="0" fontId="10" fillId="0" borderId="0"/>
    <xf numFmtId="0" fontId="10" fillId="0" borderId="0"/>
    <xf numFmtId="0" fontId="10" fillId="0" borderId="0"/>
    <xf numFmtId="0" fontId="38" fillId="0" borderId="0"/>
    <xf numFmtId="0" fontId="38" fillId="0" borderId="0"/>
    <xf numFmtId="0" fontId="38" fillId="0" borderId="0"/>
    <xf numFmtId="0" fontId="38" fillId="0" borderId="0"/>
    <xf numFmtId="0" fontId="3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38"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38" fillId="0" borderId="0"/>
    <xf numFmtId="0" fontId="10" fillId="0" borderId="0"/>
    <xf numFmtId="0" fontId="207" fillId="0" borderId="0"/>
    <xf numFmtId="0" fontId="207" fillId="0" borderId="0"/>
    <xf numFmtId="0" fontId="207" fillId="0" borderId="0"/>
    <xf numFmtId="0" fontId="206" fillId="0" borderId="0"/>
    <xf numFmtId="0" fontId="46" fillId="0" borderId="0" applyProtection="0"/>
    <xf numFmtId="0" fontId="20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24" fillId="0" borderId="0"/>
    <xf numFmtId="0" fontId="24" fillId="0" borderId="0"/>
    <xf numFmtId="0" fontId="117" fillId="0" borderId="0"/>
    <xf numFmtId="0" fontId="204" fillId="0" borderId="0"/>
    <xf numFmtId="0" fontId="24" fillId="0" borderId="0"/>
    <xf numFmtId="0" fontId="1" fillId="0" borderId="0"/>
    <xf numFmtId="0" fontId="1" fillId="0" borderId="0"/>
    <xf numFmtId="0" fontId="24" fillId="0" borderId="0"/>
    <xf numFmtId="0" fontId="24" fillId="0" borderId="0"/>
    <xf numFmtId="0" fontId="1" fillId="0" borderId="0"/>
    <xf numFmtId="0" fontId="10" fillId="0" borderId="0"/>
    <xf numFmtId="0" fontId="8" fillId="0" borderId="0"/>
    <xf numFmtId="0" fontId="1" fillId="0" borderId="0"/>
    <xf numFmtId="0" fontId="38" fillId="0" borderId="0"/>
    <xf numFmtId="0" fontId="10" fillId="0" borderId="0"/>
    <xf numFmtId="0" fontId="10" fillId="0" borderId="0" applyProtection="0"/>
    <xf numFmtId="0" fontId="1" fillId="0" borderId="0"/>
    <xf numFmtId="0" fontId="210" fillId="0" borderId="0"/>
    <xf numFmtId="0" fontId="116" fillId="0" borderId="0"/>
    <xf numFmtId="0" fontId="116" fillId="0" borderId="0"/>
    <xf numFmtId="0" fontId="38" fillId="0" borderId="0"/>
    <xf numFmtId="0" fontId="38" fillId="0" borderId="0"/>
    <xf numFmtId="0" fontId="116" fillId="0" borderId="0"/>
    <xf numFmtId="0" fontId="116" fillId="0" borderId="0"/>
    <xf numFmtId="0" fontId="38" fillId="0" borderId="0"/>
    <xf numFmtId="0" fontId="116" fillId="0" borderId="0"/>
    <xf numFmtId="0" fontId="116" fillId="0" borderId="0"/>
    <xf numFmtId="0" fontId="116" fillId="0" borderId="0"/>
    <xf numFmtId="0" fontId="116" fillId="0" borderId="0"/>
    <xf numFmtId="0" fontId="38" fillId="0" borderId="0"/>
    <xf numFmtId="0" fontId="38" fillId="0" borderId="0"/>
    <xf numFmtId="0" fontId="51" fillId="0" borderId="0"/>
    <xf numFmtId="0" fontId="10" fillId="0" borderId="0"/>
    <xf numFmtId="0" fontId="207" fillId="0" borderId="0"/>
    <xf numFmtId="0" fontId="6" fillId="0" borderId="0"/>
    <xf numFmtId="0" fontId="38" fillId="0" borderId="0"/>
    <xf numFmtId="0" fontId="207" fillId="0" borderId="0"/>
    <xf numFmtId="0" fontId="6" fillId="0" borderId="0"/>
    <xf numFmtId="0" fontId="46" fillId="0" borderId="0"/>
    <xf numFmtId="0" fontId="46" fillId="0" borderId="0" applyProtection="0"/>
    <xf numFmtId="0" fontId="46" fillId="0" borderId="0"/>
    <xf numFmtId="0" fontId="46" fillId="0" borderId="0" applyProtection="0"/>
    <xf numFmtId="0" fontId="6" fillId="0" borderId="0"/>
    <xf numFmtId="0" fontId="46" fillId="0" borderId="0" applyProtection="0"/>
    <xf numFmtId="0" fontId="70" fillId="0" borderId="0"/>
    <xf numFmtId="0" fontId="6" fillId="0" borderId="0"/>
    <xf numFmtId="0" fontId="46" fillId="0" borderId="0" applyProtection="0"/>
    <xf numFmtId="0" fontId="46" fillId="0" borderId="0"/>
    <xf numFmtId="0" fontId="70" fillId="0" borderId="0"/>
    <xf numFmtId="0" fontId="46" fillId="0" borderId="0" applyProtection="0"/>
    <xf numFmtId="0" fontId="70" fillId="0" borderId="0"/>
    <xf numFmtId="0" fontId="46" fillId="0" borderId="0" applyProtection="0"/>
    <xf numFmtId="0" fontId="10" fillId="0" borderId="0"/>
    <xf numFmtId="0" fontId="46" fillId="0" borderId="0" applyProtection="0"/>
    <xf numFmtId="0" fontId="6" fillId="0" borderId="0"/>
    <xf numFmtId="0" fontId="211" fillId="0" borderId="0"/>
    <xf numFmtId="0" fontId="10" fillId="0" borderId="0"/>
    <xf numFmtId="0" fontId="6" fillId="0" borderId="0"/>
    <xf numFmtId="0" fontId="6" fillId="0" borderId="0"/>
    <xf numFmtId="0" fontId="43"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1" fillId="0" borderId="0"/>
    <xf numFmtId="0" fontId="1" fillId="0" borderId="0"/>
    <xf numFmtId="0" fontId="207" fillId="0" borderId="0"/>
    <xf numFmtId="0" fontId="6" fillId="0" borderId="0"/>
    <xf numFmtId="0" fontId="87" fillId="0" borderId="0"/>
    <xf numFmtId="0" fontId="87" fillId="0" borderId="0" applyProtection="0"/>
    <xf numFmtId="0" fontId="10"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6" fillId="0" borderId="0"/>
    <xf numFmtId="0" fontId="87" fillId="0" borderId="0" applyProtection="0"/>
    <xf numFmtId="0" fontId="6" fillId="0" borderId="0"/>
    <xf numFmtId="0" fontId="6" fillId="0" borderId="0"/>
    <xf numFmtId="0" fontId="6" fillId="0" borderId="0"/>
    <xf numFmtId="0" fontId="6" fillId="0" borderId="0"/>
    <xf numFmtId="0" fontId="6" fillId="0" borderId="0"/>
    <xf numFmtId="0" fontId="6"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72" fillId="0" borderId="0"/>
    <xf numFmtId="0" fontId="46" fillId="0" borderId="0"/>
    <xf numFmtId="0" fontId="46" fillId="0" borderId="0"/>
    <xf numFmtId="0" fontId="46" fillId="0" borderId="0"/>
    <xf numFmtId="0" fontId="24" fillId="0" borderId="0"/>
    <xf numFmtId="0" fontId="24" fillId="0" borderId="0"/>
    <xf numFmtId="0" fontId="10" fillId="0" borderId="0" applyProtection="0"/>
    <xf numFmtId="0" fontId="24" fillId="0" borderId="0"/>
    <xf numFmtId="0" fontId="24" fillId="0" borderId="0"/>
    <xf numFmtId="0" fontId="24" fillId="0" borderId="0"/>
    <xf numFmtId="0" fontId="24" fillId="0" borderId="0"/>
    <xf numFmtId="0" fontId="46" fillId="0" borderId="0"/>
    <xf numFmtId="0" fontId="24" fillId="0" borderId="0"/>
    <xf numFmtId="0" fontId="24"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38" fillId="0" borderId="0"/>
    <xf numFmtId="0" fontId="54" fillId="0" borderId="0"/>
    <xf numFmtId="0" fontId="38" fillId="0" borderId="0"/>
    <xf numFmtId="0" fontId="38" fillId="0" borderId="0"/>
    <xf numFmtId="0" fontId="38" fillId="0" borderId="0"/>
    <xf numFmtId="0" fontId="38" fillId="0" borderId="0"/>
    <xf numFmtId="0" fontId="38" fillId="0" borderId="0"/>
    <xf numFmtId="0" fontId="10" fillId="0" borderId="0"/>
    <xf numFmtId="0" fontId="6" fillId="0" borderId="0"/>
    <xf numFmtId="0" fontId="38" fillId="0" borderId="0"/>
    <xf numFmtId="0" fontId="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2" fillId="0" borderId="0"/>
    <xf numFmtId="0" fontId="6" fillId="0" borderId="0"/>
    <xf numFmtId="0" fontId="46" fillId="0" borderId="0"/>
    <xf numFmtId="0" fontId="6" fillId="0" borderId="0"/>
    <xf numFmtId="0" fontId="6" fillId="0" borderId="0"/>
    <xf numFmtId="0" fontId="6" fillId="0" borderId="0" applyProtection="0"/>
    <xf numFmtId="0" fontId="64" fillId="0" borderId="0"/>
    <xf numFmtId="0" fontId="1"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applyNumberFormat="0" applyFill="0" applyBorder="0" applyProtection="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40" fillId="0" borderId="0" applyNumberFormat="0" applyFill="0" applyBorder="0" applyProtection="0">
      <alignment vertical="top"/>
    </xf>
    <xf numFmtId="0" fontId="6" fillId="0" borderId="0"/>
    <xf numFmtId="0" fontId="6" fillId="0" borderId="0"/>
    <xf numFmtId="0" fontId="6" fillId="0" borderId="0"/>
    <xf numFmtId="0" fontId="6" fillId="0" borderId="0"/>
    <xf numFmtId="0" fontId="6" fillId="0" borderId="0"/>
    <xf numFmtId="0" fontId="117" fillId="0" borderId="0"/>
    <xf numFmtId="0" fontId="1" fillId="0" borderId="0"/>
    <xf numFmtId="0" fontId="1" fillId="0" borderId="0"/>
    <xf numFmtId="0" fontId="1" fillId="0" borderId="0"/>
    <xf numFmtId="0" fontId="1" fillId="0" borderId="0"/>
    <xf numFmtId="0" fontId="6" fillId="0" borderId="0"/>
    <xf numFmtId="0" fontId="1" fillId="0" borderId="0"/>
    <xf numFmtId="0" fontId="8" fillId="0" borderId="0"/>
    <xf numFmtId="0" fontId="73" fillId="0" borderId="0"/>
    <xf numFmtId="0" fontId="10" fillId="0" borderId="0"/>
    <xf numFmtId="0" fontId="39" fillId="0" borderId="0"/>
    <xf numFmtId="0" fontId="10" fillId="0" borderId="0"/>
    <xf numFmtId="0" fontId="39"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6" fillId="0" borderId="0"/>
    <xf numFmtId="0" fontId="6" fillId="0" borderId="0"/>
    <xf numFmtId="0" fontId="6" fillId="0" borderId="0"/>
    <xf numFmtId="0" fontId="10" fillId="0" borderId="0"/>
    <xf numFmtId="0" fontId="7" fillId="0" borderId="0"/>
    <xf numFmtId="0" fontId="6" fillId="0" borderId="0"/>
    <xf numFmtId="0" fontId="6" fillId="0" borderId="0"/>
    <xf numFmtId="0" fontId="6" fillId="0" borderId="0"/>
    <xf numFmtId="0" fontId="1" fillId="0" borderId="0"/>
    <xf numFmtId="0" fontId="1" fillId="0" borderId="0"/>
    <xf numFmtId="0" fontId="6" fillId="0" borderId="0"/>
    <xf numFmtId="0" fontId="8" fillId="0" borderId="0"/>
    <xf numFmtId="0" fontId="72" fillId="0" borderId="0" applyFont="0"/>
    <xf numFmtId="0" fontId="103" fillId="32" borderId="0"/>
    <xf numFmtId="0" fontId="125" fillId="0" borderId="0"/>
    <xf numFmtId="0" fontId="10" fillId="38" borderId="39" applyNumberFormat="0" applyFont="0" applyAlignment="0" applyProtection="0"/>
    <xf numFmtId="0" fontId="10" fillId="38" borderId="39" applyNumberFormat="0" applyFont="0" applyAlignment="0" applyProtection="0"/>
    <xf numFmtId="0" fontId="10" fillId="38" borderId="39" applyNumberFormat="0" applyFont="0" applyAlignment="0" applyProtection="0"/>
    <xf numFmtId="0" fontId="10" fillId="38" borderId="39" applyNumberFormat="0" applyFont="0" applyAlignment="0" applyProtection="0"/>
    <xf numFmtId="0" fontId="10" fillId="38" borderId="39" applyNumberFormat="0" applyFont="0" applyAlignment="0" applyProtection="0"/>
    <xf numFmtId="0" fontId="10" fillId="38" borderId="39" applyNumberFormat="0" applyFont="0" applyAlignment="0" applyProtection="0"/>
    <xf numFmtId="0" fontId="82" fillId="39" borderId="39" applyNumberFormat="0" applyFont="0" applyAlignment="0" applyProtection="0"/>
    <xf numFmtId="0" fontId="10" fillId="8" borderId="20" applyNumberFormat="0" applyFont="0" applyAlignment="0" applyProtection="0"/>
    <xf numFmtId="0" fontId="10" fillId="8" borderId="20" applyNumberFormat="0" applyFont="0" applyAlignment="0" applyProtection="0"/>
    <xf numFmtId="313" fontId="173" fillId="0" borderId="0" applyFont="0" applyFill="0" applyBorder="0" applyProtection="0">
      <alignment vertical="top" wrapText="1"/>
    </xf>
    <xf numFmtId="0" fontId="51" fillId="0" borderId="0"/>
    <xf numFmtId="0" fontId="51" fillId="0" borderId="0" applyProtection="0"/>
    <xf numFmtId="0" fontId="51" fillId="0" borderId="0" applyProtection="0"/>
    <xf numFmtId="3" fontId="174" fillId="0" borderId="0" applyFont="0" applyFill="0" applyBorder="0" applyAlignment="0" applyProtection="0"/>
    <xf numFmtId="171" fontId="71" fillId="0" borderId="0" applyFont="0" applyFill="0" applyBorder="0" applyAlignment="0" applyProtection="0"/>
    <xf numFmtId="0" fontId="107" fillId="0" borderId="0" applyNumberFormat="0" applyFill="0" applyBorder="0" applyAlignment="0" applyProtection="0"/>
    <xf numFmtId="0" fontId="98" fillId="0" borderId="0" applyNumberFormat="0" applyFill="0" applyBorder="0" applyAlignment="0" applyProtection="0"/>
    <xf numFmtId="0" fontId="8" fillId="0" borderId="0" applyNumberFormat="0" applyFill="0" applyBorder="0" applyAlignment="0" applyProtection="0"/>
    <xf numFmtId="0" fontId="107" fillId="0" borderId="0" applyNumberFormat="0" applyFill="0" applyBorder="0" applyAlignment="0" applyProtection="0"/>
    <xf numFmtId="0" fontId="175" fillId="0" borderId="0" applyNumberFormat="0" applyFill="0" applyBorder="0" applyAlignment="0" applyProtection="0"/>
    <xf numFmtId="0" fontId="98" fillId="0" borderId="0" applyNumberFormat="0" applyFill="0" applyBorder="0" applyAlignment="0" applyProtection="0"/>
    <xf numFmtId="0" fontId="8" fillId="0" borderId="0" applyNumberFormat="0" applyFill="0" applyBorder="0" applyAlignment="0" applyProtection="0"/>
    <xf numFmtId="0" fontId="107" fillId="0" borderId="0" applyProtection="0"/>
    <xf numFmtId="0" fontId="6" fillId="0" borderId="0" applyFont="0" applyFill="0" applyBorder="0" applyAlignment="0" applyProtection="0"/>
    <xf numFmtId="0" fontId="39" fillId="0" borderId="0"/>
    <xf numFmtId="0" fontId="176" fillId="29" borderId="40" applyNumberFormat="0" applyAlignment="0" applyProtection="0"/>
    <xf numFmtId="0" fontId="213" fillId="6" borderId="18" applyNumberFormat="0" applyAlignment="0" applyProtection="0"/>
    <xf numFmtId="169" fontId="177" fillId="0" borderId="17" applyFont="0" applyBorder="0" applyAlignment="0"/>
    <xf numFmtId="169" fontId="177" fillId="0" borderId="17" applyFont="0" applyBorder="0" applyAlignment="0"/>
    <xf numFmtId="169" fontId="177" fillId="0" borderId="17" applyFont="0" applyBorder="0" applyAlignment="0"/>
    <xf numFmtId="169" fontId="177" fillId="0" borderId="17" applyFont="0" applyBorder="0" applyAlignment="0"/>
    <xf numFmtId="0" fontId="44" fillId="32" borderId="0"/>
    <xf numFmtId="0" fontId="116" fillId="32" borderId="0"/>
    <xf numFmtId="0" fontId="116" fillId="32" borderId="0"/>
    <xf numFmtId="0" fontId="116" fillId="32" borderId="0"/>
    <xf numFmtId="41" fontId="82"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300" fontId="6" fillId="0" borderId="0" applyFont="0" applyFill="0" applyBorder="0" applyAlignment="0" applyProtection="0"/>
    <xf numFmtId="14" fontId="91" fillId="0" borderId="0">
      <alignment horizontal="center" wrapText="1"/>
      <protection locked="0"/>
    </xf>
    <xf numFmtId="14" fontId="92" fillId="0" borderId="0">
      <alignment horizontal="center" wrapText="1"/>
      <protection locked="0"/>
    </xf>
    <xf numFmtId="314" fontId="107" fillId="0" borderId="0" applyFont="0" applyFill="0" applyBorder="0" applyAlignment="0" applyProtection="0"/>
    <xf numFmtId="315" fontId="3" fillId="0" borderId="0" applyFont="0" applyFill="0" applyBorder="0" applyAlignment="0" applyProtection="0"/>
    <xf numFmtId="316" fontId="113"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317" fontId="6" fillId="0" borderId="0" applyFont="0" applyFill="0" applyBorder="0" applyAlignment="0" applyProtection="0"/>
    <xf numFmtId="242" fontId="82"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243" fontId="6" fillId="0" borderId="0" applyFont="0" applyFill="0" applyBorder="0" applyAlignment="0" applyProtection="0"/>
    <xf numFmtId="195" fontId="82"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318"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46" fillId="0" borderId="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319" fontId="113" fillId="0" borderId="0" applyFont="0" applyFill="0" applyBorder="0" applyAlignment="0" applyProtection="0"/>
    <xf numFmtId="320" fontId="3" fillId="0" borderId="0" applyFont="0" applyFill="0" applyBorder="0" applyAlignment="0" applyProtection="0"/>
    <xf numFmtId="321" fontId="113" fillId="0" borderId="0" applyFont="0" applyFill="0" applyBorder="0" applyAlignment="0" applyProtection="0"/>
    <xf numFmtId="322" fontId="3" fillId="0" borderId="0" applyFont="0" applyFill="0" applyBorder="0" applyAlignment="0" applyProtection="0"/>
    <xf numFmtId="323" fontId="113" fillId="0" borderId="0" applyFont="0" applyFill="0" applyBorder="0" applyAlignment="0" applyProtection="0"/>
    <xf numFmtId="324" fontId="3"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4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6" fillId="0" borderId="41" applyNumberFormat="0" applyBorder="0"/>
    <xf numFmtId="9" fontId="66" fillId="0" borderId="41" applyNumberFormat="0" applyBorder="0"/>
    <xf numFmtId="0" fontId="82"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196" fontId="103"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188" fontId="103"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4" fontId="6" fillId="0" borderId="0" applyFill="0" applyBorder="0" applyAlignment="0"/>
    <xf numFmtId="245" fontId="103"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246" fontId="6" fillId="0" borderId="0" applyFill="0" applyBorder="0" applyAlignment="0"/>
    <xf numFmtId="196" fontId="103"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238" fontId="6" fillId="0" borderId="0" applyFill="0" applyBorder="0" applyAlignment="0"/>
    <xf numFmtId="0" fontId="178" fillId="0" borderId="0"/>
    <xf numFmtId="0" fontId="179" fillId="0" borderId="0"/>
    <xf numFmtId="0" fontId="66" fillId="0" borderId="0" applyNumberFormat="0" applyFont="0" applyFill="0" applyBorder="0" applyAlignment="0" applyProtection="0">
      <alignment horizontal="left"/>
    </xf>
    <xf numFmtId="0" fontId="180" fillId="0" borderId="33">
      <alignment horizontal="center"/>
    </xf>
    <xf numFmtId="1" fontId="82" fillId="0" borderId="8" applyNumberFormat="0" applyFill="0" applyAlignment="0" applyProtection="0">
      <alignment horizontal="center" vertical="center"/>
    </xf>
    <xf numFmtId="0" fontId="181" fillId="40" borderId="0" applyNumberFormat="0" applyFont="0" applyBorder="0" applyAlignment="0">
      <alignment horizontal="center"/>
    </xf>
    <xf numFmtId="0" fontId="181" fillId="40" borderId="0" applyNumberFormat="0" applyFont="0" applyBorder="0" applyAlignment="0">
      <alignment horizontal="center"/>
    </xf>
    <xf numFmtId="14" fontId="182" fillId="0" borderId="0" applyNumberFormat="0" applyFill="0" applyBorder="0" applyAlignment="0" applyProtection="0">
      <alignment horizontal="left"/>
    </xf>
    <xf numFmtId="0" fontId="158" fillId="0" borderId="0"/>
    <xf numFmtId="0" fontId="51" fillId="0" borderId="0"/>
    <xf numFmtId="41" fontId="62" fillId="0" borderId="0" applyFont="0" applyFill="0" applyBorder="0" applyAlignment="0" applyProtection="0"/>
    <xf numFmtId="227" fontId="62"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Protection="0"/>
    <xf numFmtId="224" fontId="62" fillId="0" borderId="0" applyFont="0" applyFill="0" applyBorder="0" applyAlignment="0" applyProtection="0"/>
    <xf numFmtId="41" fontId="46" fillId="0" borderId="0" applyProtection="0"/>
    <xf numFmtId="4" fontId="183" fillId="41" borderId="42" applyNumberFormat="0" applyProtection="0">
      <alignment vertical="center"/>
    </xf>
    <xf numFmtId="4" fontId="184" fillId="41" borderId="42" applyNumberFormat="0" applyProtection="0">
      <alignment vertical="center"/>
    </xf>
    <xf numFmtId="4" fontId="185" fillId="41" borderId="42" applyNumberFormat="0" applyProtection="0">
      <alignment vertical="center"/>
    </xf>
    <xf numFmtId="4" fontId="186" fillId="41" borderId="42" applyNumberFormat="0" applyProtection="0">
      <alignment vertical="center"/>
    </xf>
    <xf numFmtId="4" fontId="187" fillId="41" borderId="42" applyNumberFormat="0" applyProtection="0">
      <alignment horizontal="left" vertical="center" indent="1"/>
    </xf>
    <xf numFmtId="4" fontId="188" fillId="41" borderId="42" applyNumberFormat="0" applyProtection="0">
      <alignment horizontal="left" vertical="center" indent="1"/>
    </xf>
    <xf numFmtId="4" fontId="187" fillId="42" borderId="0" applyNumberFormat="0" applyProtection="0">
      <alignment horizontal="left" vertical="center" indent="1"/>
    </xf>
    <xf numFmtId="4" fontId="188" fillId="42" borderId="0" applyNumberFormat="0" applyProtection="0">
      <alignment horizontal="left" vertical="center" indent="1"/>
    </xf>
    <xf numFmtId="4" fontId="187" fillId="43" borderId="42" applyNumberFormat="0" applyProtection="0">
      <alignment horizontal="right" vertical="center"/>
    </xf>
    <xf numFmtId="4" fontId="188" fillId="43" borderId="42" applyNumberFormat="0" applyProtection="0">
      <alignment horizontal="right" vertical="center"/>
    </xf>
    <xf numFmtId="4" fontId="187" fillId="44" borderId="42" applyNumberFormat="0" applyProtection="0">
      <alignment horizontal="right" vertical="center"/>
    </xf>
    <xf numFmtId="4" fontId="188" fillId="44" borderId="42" applyNumberFormat="0" applyProtection="0">
      <alignment horizontal="right" vertical="center"/>
    </xf>
    <xf numFmtId="4" fontId="187" fillId="45" borderId="42" applyNumberFormat="0" applyProtection="0">
      <alignment horizontal="right" vertical="center"/>
    </xf>
    <xf numFmtId="4" fontId="188" fillId="45" borderId="42" applyNumberFormat="0" applyProtection="0">
      <alignment horizontal="right" vertical="center"/>
    </xf>
    <xf numFmtId="4" fontId="187" fillId="46" borderId="42" applyNumberFormat="0" applyProtection="0">
      <alignment horizontal="right" vertical="center"/>
    </xf>
    <xf numFmtId="4" fontId="188" fillId="46" borderId="42" applyNumberFormat="0" applyProtection="0">
      <alignment horizontal="right" vertical="center"/>
    </xf>
    <xf numFmtId="4" fontId="187" fillId="47" borderId="42" applyNumberFormat="0" applyProtection="0">
      <alignment horizontal="right" vertical="center"/>
    </xf>
    <xf numFmtId="4" fontId="188" fillId="47" borderId="42" applyNumberFormat="0" applyProtection="0">
      <alignment horizontal="right" vertical="center"/>
    </xf>
    <xf numFmtId="4" fontId="187" fillId="48" borderId="42" applyNumberFormat="0" applyProtection="0">
      <alignment horizontal="right" vertical="center"/>
    </xf>
    <xf numFmtId="4" fontId="188" fillId="48" borderId="42" applyNumberFormat="0" applyProtection="0">
      <alignment horizontal="right" vertical="center"/>
    </xf>
    <xf numFmtId="4" fontId="187" fillId="49" borderId="42" applyNumberFormat="0" applyProtection="0">
      <alignment horizontal="right" vertical="center"/>
    </xf>
    <xf numFmtId="4" fontId="188" fillId="49" borderId="42" applyNumberFormat="0" applyProtection="0">
      <alignment horizontal="right" vertical="center"/>
    </xf>
    <xf numFmtId="4" fontId="187" fillId="50" borderId="42" applyNumberFormat="0" applyProtection="0">
      <alignment horizontal="right" vertical="center"/>
    </xf>
    <xf numFmtId="4" fontId="188" fillId="50" borderId="42" applyNumberFormat="0" applyProtection="0">
      <alignment horizontal="right" vertical="center"/>
    </xf>
    <xf numFmtId="4" fontId="187" fillId="51" borderId="42" applyNumberFormat="0" applyProtection="0">
      <alignment horizontal="right" vertical="center"/>
    </xf>
    <xf numFmtId="4" fontId="188" fillId="51" borderId="42" applyNumberFormat="0" applyProtection="0">
      <alignment horizontal="right" vertical="center"/>
    </xf>
    <xf numFmtId="4" fontId="183" fillId="52" borderId="43" applyNumberFormat="0" applyProtection="0">
      <alignment horizontal="left" vertical="center" indent="1"/>
    </xf>
    <xf numFmtId="4" fontId="184" fillId="52" borderId="43" applyNumberFormat="0" applyProtection="0">
      <alignment horizontal="left" vertical="center" indent="1"/>
    </xf>
    <xf numFmtId="4" fontId="183" fillId="53" borderId="0" applyNumberFormat="0" applyProtection="0">
      <alignment horizontal="left" vertical="center" indent="1"/>
    </xf>
    <xf numFmtId="4" fontId="184" fillId="53" borderId="0" applyNumberFormat="0" applyProtection="0">
      <alignment horizontal="left" vertical="center" indent="1"/>
    </xf>
    <xf numFmtId="4" fontId="183" fillId="42" borderId="0" applyNumberFormat="0" applyProtection="0">
      <alignment horizontal="left" vertical="center" indent="1"/>
    </xf>
    <xf numFmtId="4" fontId="184" fillId="42" borderId="0" applyNumberFormat="0" applyProtection="0">
      <alignment horizontal="left" vertical="center" indent="1"/>
    </xf>
    <xf numFmtId="4" fontId="187" fillId="53" borderId="42" applyNumberFormat="0" applyProtection="0">
      <alignment horizontal="right" vertical="center"/>
    </xf>
    <xf numFmtId="4" fontId="188" fillId="53" borderId="42" applyNumberFormat="0" applyProtection="0">
      <alignment horizontal="right" vertical="center"/>
    </xf>
    <xf numFmtId="4" fontId="65" fillId="53" borderId="0" applyNumberFormat="0" applyProtection="0">
      <alignment horizontal="left" vertical="center" indent="1"/>
    </xf>
    <xf numFmtId="4" fontId="64" fillId="53" borderId="0" applyNumberFormat="0" applyProtection="0">
      <alignment horizontal="left" vertical="center" indent="1"/>
    </xf>
    <xf numFmtId="4" fontId="65" fillId="42" borderId="0" applyNumberFormat="0" applyProtection="0">
      <alignment horizontal="left" vertical="center" indent="1"/>
    </xf>
    <xf numFmtId="4" fontId="64" fillId="42" borderId="0" applyNumberFormat="0" applyProtection="0">
      <alignment horizontal="left" vertical="center" indent="1"/>
    </xf>
    <xf numFmtId="4" fontId="187" fillId="54" borderId="42" applyNumberFormat="0" applyProtection="0">
      <alignment vertical="center"/>
    </xf>
    <xf numFmtId="4" fontId="188" fillId="54" borderId="42" applyNumberFormat="0" applyProtection="0">
      <alignment vertical="center"/>
    </xf>
    <xf numFmtId="4" fontId="189" fillId="54" borderId="42" applyNumberFormat="0" applyProtection="0">
      <alignment vertical="center"/>
    </xf>
    <xf numFmtId="4" fontId="190" fillId="54" borderId="42" applyNumberFormat="0" applyProtection="0">
      <alignment vertical="center"/>
    </xf>
    <xf numFmtId="4" fontId="183" fillId="53" borderId="44" applyNumberFormat="0" applyProtection="0">
      <alignment horizontal="left" vertical="center" indent="1"/>
    </xf>
    <xf numFmtId="4" fontId="184" fillId="53" borderId="44" applyNumberFormat="0" applyProtection="0">
      <alignment horizontal="left" vertical="center" indent="1"/>
    </xf>
    <xf numFmtId="4" fontId="187" fillId="54" borderId="42" applyNumberFormat="0" applyProtection="0">
      <alignment horizontal="right" vertical="center"/>
    </xf>
    <xf numFmtId="4" fontId="188" fillId="54" borderId="42" applyNumberFormat="0" applyProtection="0">
      <alignment horizontal="right" vertical="center"/>
    </xf>
    <xf numFmtId="4" fontId="189" fillId="54" borderId="42" applyNumberFormat="0" applyProtection="0">
      <alignment horizontal="right" vertical="center"/>
    </xf>
    <xf numFmtId="4" fontId="190" fillId="54" borderId="42" applyNumberFormat="0" applyProtection="0">
      <alignment horizontal="right" vertical="center"/>
    </xf>
    <xf numFmtId="4" fontId="183" fillId="53" borderId="42" applyNumberFormat="0" applyProtection="0">
      <alignment horizontal="left" vertical="center" indent="1"/>
    </xf>
    <xf numFmtId="4" fontId="184" fillId="53" borderId="42" applyNumberFormat="0" applyProtection="0">
      <alignment horizontal="left" vertical="center" indent="1"/>
    </xf>
    <xf numFmtId="4" fontId="191" fillId="35" borderId="44" applyNumberFormat="0" applyProtection="0">
      <alignment horizontal="left" vertical="center" indent="1"/>
    </xf>
    <xf numFmtId="4" fontId="192" fillId="35" borderId="44" applyNumberFormat="0" applyProtection="0">
      <alignment horizontal="left" vertical="center" indent="1"/>
    </xf>
    <xf numFmtId="4" fontId="193" fillId="54" borderId="42" applyNumberFormat="0" applyProtection="0">
      <alignment horizontal="right" vertical="center"/>
    </xf>
    <xf numFmtId="4" fontId="194" fillId="54" borderId="42" applyNumberFormat="0" applyProtection="0">
      <alignment horizontal="right" vertical="center"/>
    </xf>
    <xf numFmtId="325" fontId="195" fillId="0" borderId="0" applyFont="0" applyFill="0" applyBorder="0" applyAlignment="0" applyProtection="0"/>
    <xf numFmtId="0" fontId="181" fillId="1" borderId="4" applyNumberFormat="0" applyFont="0" applyAlignment="0">
      <alignment horizontal="center"/>
    </xf>
    <xf numFmtId="0" fontId="181" fillId="1" borderId="4" applyNumberFormat="0" applyFont="0" applyAlignment="0">
      <alignment horizontal="center"/>
    </xf>
    <xf numFmtId="0" fontId="181" fillId="1" borderId="4" applyNumberFormat="0" applyFont="0" applyAlignment="0">
      <alignment horizontal="center"/>
    </xf>
    <xf numFmtId="0" fontId="181" fillId="1" borderId="4" applyNumberFormat="0" applyFont="0" applyAlignment="0">
      <alignment horizontal="center"/>
    </xf>
    <xf numFmtId="3" fontId="47" fillId="0" borderId="0"/>
    <xf numFmtId="0" fontId="196" fillId="0" borderId="0" applyNumberFormat="0" applyFill="0" applyBorder="0" applyAlignment="0">
      <alignment horizontal="center"/>
    </xf>
    <xf numFmtId="0" fontId="82" fillId="0" borderId="0"/>
    <xf numFmtId="169" fontId="197" fillId="0" borderId="0" applyNumberFormat="0" applyBorder="0" applyAlignment="0">
      <alignment horizontal="centerContinuous"/>
    </xf>
    <xf numFmtId="0" fontId="8" fillId="0" borderId="8">
      <alignment horizontal="center"/>
    </xf>
    <xf numFmtId="0" fontId="66" fillId="0" borderId="0"/>
    <xf numFmtId="0" fontId="63" fillId="0" borderId="0"/>
    <xf numFmtId="0" fontId="51" fillId="0" borderId="0" applyNumberFormat="0" applyFill="0" applyBorder="0" applyAlignment="0" applyProtection="0"/>
    <xf numFmtId="0" fontId="63" fillId="0" borderId="0"/>
    <xf numFmtId="0" fontId="63" fillId="0" borderId="0"/>
    <xf numFmtId="0" fontId="51" fillId="0" borderId="0" applyNumberFormat="0" applyFill="0" applyBorder="0" applyAlignment="0" applyProtection="0"/>
    <xf numFmtId="42" fontId="62" fillId="0" borderId="0" applyFont="0" applyFill="0" applyBorder="0" applyAlignment="0" applyProtection="0"/>
    <xf numFmtId="169" fontId="73" fillId="0" borderId="0" applyFont="0" applyFill="0" applyBorder="0" applyAlignment="0" applyProtection="0"/>
    <xf numFmtId="226" fontId="62" fillId="0" borderId="0" applyFont="0" applyFill="0" applyBorder="0" applyAlignment="0" applyProtection="0"/>
    <xf numFmtId="171" fontId="62" fillId="0" borderId="0" applyFont="0" applyFill="0" applyBorder="0" applyAlignment="0" applyProtection="0"/>
    <xf numFmtId="225" fontId="62" fillId="0" borderId="0" applyFont="0" applyFill="0" applyBorder="0" applyAlignment="0" applyProtection="0"/>
    <xf numFmtId="41" fontId="62" fillId="0" borderId="0" applyFont="0" applyFill="0" applyBorder="0" applyAlignment="0" applyProtection="0"/>
    <xf numFmtId="227" fontId="62" fillId="0" borderId="0" applyFont="0" applyFill="0" applyBorder="0" applyAlignment="0" applyProtection="0"/>
    <xf numFmtId="228" fontId="62" fillId="0" borderId="0" applyFont="0" applyFill="0" applyBorder="0" applyAlignment="0" applyProtection="0"/>
    <xf numFmtId="225" fontId="62" fillId="0" borderId="0" applyFont="0" applyFill="0" applyBorder="0" applyAlignment="0" applyProtection="0"/>
    <xf numFmtId="225" fontId="62" fillId="0" borderId="0" applyFont="0" applyFill="0" applyBorder="0" applyAlignment="0" applyProtection="0"/>
    <xf numFmtId="206"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71" fontId="8" fillId="0" borderId="0" applyFont="0" applyFill="0" applyBorder="0" applyAlignment="0" applyProtection="0"/>
    <xf numFmtId="206" fontId="62" fillId="0" borderId="0" applyFont="0" applyFill="0" applyBorder="0" applyAlignment="0" applyProtection="0"/>
    <xf numFmtId="205" fontId="62" fillId="0" borderId="0" applyFont="0" applyFill="0" applyBorder="0" applyAlignment="0" applyProtection="0"/>
    <xf numFmtId="205"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171" fontId="8" fillId="0" borderId="0" applyFont="0" applyFill="0" applyBorder="0" applyAlignment="0" applyProtection="0"/>
    <xf numFmtId="206" fontId="62" fillId="0" borderId="0" applyFont="0" applyFill="0" applyBorder="0" applyAlignment="0" applyProtection="0"/>
    <xf numFmtId="20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07" fontId="47" fillId="0" borderId="0" applyFont="0" applyFill="0" applyBorder="0" applyAlignment="0" applyProtection="0"/>
    <xf numFmtId="217" fontId="62" fillId="0" borderId="0" applyFont="0" applyFill="0" applyBorder="0" applyAlignment="0" applyProtection="0"/>
    <xf numFmtId="207" fontId="62" fillId="0" borderId="0" applyFont="0" applyFill="0" applyBorder="0" applyAlignment="0" applyProtection="0"/>
    <xf numFmtId="220" fontId="62" fillId="0" borderId="0" applyFont="0" applyFill="0" applyBorder="0" applyAlignment="0" applyProtection="0"/>
    <xf numFmtId="210" fontId="62" fillId="0" borderId="0" applyFont="0" applyFill="0" applyBorder="0" applyAlignment="0" applyProtection="0"/>
    <xf numFmtId="210" fontId="62" fillId="0" borderId="0" applyFont="0" applyFill="0" applyBorder="0" applyAlignment="0" applyProtection="0"/>
    <xf numFmtId="171" fontId="8" fillId="0" borderId="0" applyFont="0" applyFill="0" applyBorder="0" applyAlignment="0" applyProtection="0"/>
    <xf numFmtId="206" fontId="62" fillId="0" borderId="0" applyFont="0" applyFill="0" applyBorder="0" applyAlignment="0" applyProtection="0"/>
    <xf numFmtId="42" fontId="62" fillId="0" borderId="0" applyFont="0" applyFill="0" applyBorder="0" applyAlignment="0" applyProtection="0"/>
    <xf numFmtId="0" fontId="51" fillId="0" borderId="0"/>
    <xf numFmtId="326" fontId="98" fillId="0" borderId="0" applyFont="0" applyFill="0" applyBorder="0" applyAlignment="0" applyProtection="0"/>
    <xf numFmtId="205" fontId="62" fillId="0" borderId="0" applyFont="0" applyFill="0" applyBorder="0" applyAlignment="0" applyProtection="0"/>
    <xf numFmtId="205"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169" fontId="73" fillId="0" borderId="0" applyFont="0" applyFill="0" applyBorder="0" applyAlignment="0" applyProtection="0"/>
    <xf numFmtId="223"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210" fontId="62" fillId="0" borderId="0" applyFont="0" applyFill="0" applyBorder="0" applyAlignment="0" applyProtection="0"/>
    <xf numFmtId="20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17" fontId="62" fillId="0" borderId="0" applyFont="0" applyFill="0" applyBorder="0" applyAlignment="0" applyProtection="0"/>
    <xf numFmtId="207" fontId="47" fillId="0" borderId="0" applyFont="0" applyFill="0" applyBorder="0" applyAlignment="0" applyProtection="0"/>
    <xf numFmtId="217" fontId="62" fillId="0" borderId="0" applyFont="0" applyFill="0" applyBorder="0" applyAlignment="0" applyProtection="0"/>
    <xf numFmtId="207" fontId="62" fillId="0" borderId="0" applyFont="0" applyFill="0" applyBorder="0" applyAlignment="0" applyProtection="0"/>
    <xf numFmtId="169" fontId="73" fillId="0" borderId="0" applyFont="0" applyFill="0" applyBorder="0" applyAlignment="0" applyProtection="0"/>
    <xf numFmtId="223" fontId="62" fillId="0" borderId="0" applyFont="0" applyFill="0" applyBorder="0" applyAlignment="0" applyProtection="0"/>
    <xf numFmtId="220" fontId="62" fillId="0" borderId="0" applyFont="0" applyFill="0" applyBorder="0" applyAlignment="0" applyProtection="0"/>
    <xf numFmtId="210" fontId="62" fillId="0" borderId="0" applyFont="0" applyFill="0" applyBorder="0" applyAlignment="0" applyProtection="0"/>
    <xf numFmtId="210" fontId="62" fillId="0" borderId="0" applyFont="0" applyFill="0" applyBorder="0" applyAlignment="0" applyProtection="0"/>
    <xf numFmtId="42" fontId="62" fillId="0" borderId="0" applyFont="0" applyFill="0" applyBorder="0" applyAlignment="0" applyProtection="0"/>
    <xf numFmtId="0" fontId="51" fillId="0" borderId="0"/>
    <xf numFmtId="326" fontId="98"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165" fontId="62" fillId="0" borderId="0" applyFont="0" applyFill="0" applyBorder="0" applyAlignment="0" applyProtection="0"/>
    <xf numFmtId="223" fontId="62" fillId="0" borderId="0" applyFont="0" applyFill="0" applyBorder="0" applyAlignment="0" applyProtection="0"/>
    <xf numFmtId="165"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27" fontId="62" fillId="0" borderId="0" applyFont="0" applyFill="0" applyBorder="0" applyAlignment="0" applyProtection="0"/>
    <xf numFmtId="41" fontId="62" fillId="0" borderId="0" applyFont="0" applyFill="0" applyBorder="0" applyAlignment="0" applyProtection="0"/>
    <xf numFmtId="221" fontId="62" fillId="0" borderId="0" applyFont="0" applyFill="0" applyBorder="0" applyAlignment="0" applyProtection="0"/>
    <xf numFmtId="165" fontId="62" fillId="0" borderId="0" applyFont="0" applyFill="0" applyBorder="0" applyAlignment="0" applyProtection="0"/>
    <xf numFmtId="221" fontId="62" fillId="0" borderId="0" applyFont="0" applyFill="0" applyBorder="0" applyAlignment="0" applyProtection="0"/>
    <xf numFmtId="165" fontId="62" fillId="0" borderId="0" applyFont="0" applyFill="0" applyBorder="0" applyAlignment="0" applyProtection="0"/>
    <xf numFmtId="222" fontId="62" fillId="0" borderId="0" applyFont="0" applyFill="0" applyBorder="0" applyAlignment="0" applyProtection="0"/>
    <xf numFmtId="41" fontId="62" fillId="0" borderId="0" applyFont="0" applyFill="0" applyBorder="0" applyAlignment="0" applyProtection="0"/>
    <xf numFmtId="223"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42" fontId="62" fillId="0" borderId="0" applyFont="0" applyFill="0" applyBorder="0" applyAlignment="0" applyProtection="0"/>
    <xf numFmtId="223" fontId="62" fillId="0" borderId="0" applyFont="0" applyFill="0" applyBorder="0" applyAlignment="0" applyProtection="0"/>
    <xf numFmtId="217" fontId="62" fillId="0" borderId="0" applyFont="0" applyFill="0" applyBorder="0" applyAlignment="0" applyProtection="0"/>
    <xf numFmtId="223" fontId="62" fillId="0" borderId="0" applyFont="0" applyFill="0" applyBorder="0" applyAlignment="0" applyProtection="0"/>
    <xf numFmtId="207" fontId="47" fillId="0" borderId="0" applyFont="0" applyFill="0" applyBorder="0" applyAlignment="0" applyProtection="0"/>
    <xf numFmtId="222" fontId="62" fillId="0" borderId="0" applyFont="0" applyFill="0" applyBorder="0" applyAlignment="0" applyProtection="0"/>
    <xf numFmtId="207" fontId="62" fillId="0" borderId="0" applyFont="0" applyFill="0" applyBorder="0" applyAlignment="0" applyProtection="0"/>
    <xf numFmtId="206" fontId="47" fillId="0" borderId="0" applyFont="0" applyFill="0" applyBorder="0" applyAlignment="0" applyProtection="0"/>
    <xf numFmtId="0" fontId="51" fillId="0" borderId="0"/>
    <xf numFmtId="226" fontId="62" fillId="0" borderId="0" applyFont="0" applyFill="0" applyBorder="0" applyAlignment="0" applyProtection="0"/>
    <xf numFmtId="326" fontId="98" fillId="0" borderId="0" applyFont="0" applyFill="0" applyBorder="0" applyAlignment="0" applyProtection="0"/>
    <xf numFmtId="206" fontId="62" fillId="0" borderId="0" applyFont="0" applyFill="0" applyBorder="0" applyAlignment="0" applyProtection="0"/>
    <xf numFmtId="165" fontId="62" fillId="0" borderId="0" applyFont="0" applyFill="0" applyBorder="0" applyAlignment="0" applyProtection="0"/>
    <xf numFmtId="222" fontId="62" fillId="0" borderId="0" applyFont="0" applyFill="0" applyBorder="0" applyAlignment="0" applyProtection="0"/>
    <xf numFmtId="169" fontId="73" fillId="0" borderId="0" applyFont="0" applyFill="0" applyBorder="0" applyAlignment="0" applyProtection="0"/>
    <xf numFmtId="206" fontId="62" fillId="0" borderId="0" applyFont="0" applyFill="0" applyBorder="0" applyAlignment="0" applyProtection="0"/>
    <xf numFmtId="171" fontId="8" fillId="0" borderId="0" applyFont="0" applyFill="0" applyBorder="0" applyAlignment="0" applyProtection="0"/>
    <xf numFmtId="206" fontId="62" fillId="0" borderId="0" applyFont="0" applyFill="0" applyBorder="0" applyAlignment="0" applyProtection="0"/>
    <xf numFmtId="171" fontId="8" fillId="0" borderId="0" applyFont="0" applyFill="0" applyBorder="0" applyAlignment="0" applyProtection="0"/>
    <xf numFmtId="223" fontId="62" fillId="0" borderId="0" applyFont="0" applyFill="0" applyBorder="0" applyAlignment="0" applyProtection="0"/>
    <xf numFmtId="171" fontId="8" fillId="0" borderId="0" applyFont="0" applyFill="0" applyBorder="0" applyAlignment="0" applyProtection="0"/>
    <xf numFmtId="223" fontId="62" fillId="0" borderId="0" applyFont="0" applyFill="0" applyBorder="0" applyAlignment="0" applyProtection="0"/>
    <xf numFmtId="169" fontId="73" fillId="0" borderId="0" applyFont="0" applyFill="0" applyBorder="0" applyAlignment="0" applyProtection="0"/>
    <xf numFmtId="206" fontId="62" fillId="0" borderId="0" applyFont="0" applyFill="0" applyBorder="0" applyAlignment="0" applyProtection="0"/>
    <xf numFmtId="169" fontId="73" fillId="0" borderId="0" applyFont="0" applyFill="0" applyBorder="0" applyAlignment="0" applyProtection="0"/>
    <xf numFmtId="223" fontId="62" fillId="0" borderId="0" applyFont="0" applyFill="0" applyBorder="0" applyAlignment="0" applyProtection="0"/>
    <xf numFmtId="206" fontId="62" fillId="0" borderId="0" applyFont="0" applyFill="0" applyBorder="0" applyAlignment="0" applyProtection="0"/>
    <xf numFmtId="171" fontId="62" fillId="0" borderId="0" applyFont="0" applyFill="0" applyBorder="0" applyAlignment="0" applyProtection="0"/>
    <xf numFmtId="227" fontId="62" fillId="0" borderId="0" applyFont="0" applyFill="0" applyBorder="0" applyAlignment="0" applyProtection="0"/>
    <xf numFmtId="165" fontId="62" fillId="0" borderId="0" applyFont="0" applyFill="0" applyBorder="0" applyAlignment="0" applyProtection="0"/>
    <xf numFmtId="208" fontId="62" fillId="0" borderId="0" applyFont="0" applyFill="0" applyBorder="0" applyAlignment="0" applyProtection="0"/>
    <xf numFmtId="165" fontId="62" fillId="0" borderId="0" applyFont="0" applyFill="0" applyBorder="0" applyAlignment="0" applyProtection="0"/>
    <xf numFmtId="207" fontId="47" fillId="0" borderId="0" applyFont="0" applyFill="0" applyBorder="0" applyAlignment="0" applyProtection="0"/>
    <xf numFmtId="165" fontId="62" fillId="0" borderId="0" applyFont="0" applyFill="0" applyBorder="0" applyAlignment="0" applyProtection="0"/>
    <xf numFmtId="223" fontId="62" fillId="0" borderId="0" applyFont="0" applyFill="0" applyBorder="0" applyAlignment="0" applyProtection="0"/>
    <xf numFmtId="41" fontId="62" fillId="0" borderId="0" applyFont="0" applyFill="0" applyBorder="0" applyAlignment="0" applyProtection="0"/>
    <xf numFmtId="208" fontId="62" fillId="0" borderId="0" applyFont="0" applyFill="0" applyBorder="0" applyAlignment="0" applyProtection="0"/>
    <xf numFmtId="171" fontId="62" fillId="0" borderId="0" applyFont="0" applyFill="0" applyBorder="0" applyAlignment="0" applyProtection="0"/>
    <xf numFmtId="208" fontId="62" fillId="0" borderId="0" applyFont="0" applyFill="0" applyBorder="0" applyAlignment="0" applyProtection="0"/>
    <xf numFmtId="171" fontId="62" fillId="0" borderId="0" applyFont="0" applyFill="0" applyBorder="0" applyAlignment="0" applyProtection="0"/>
    <xf numFmtId="207" fontId="62" fillId="0" borderId="0" applyFont="0" applyFill="0" applyBorder="0" applyAlignment="0" applyProtection="0"/>
    <xf numFmtId="171" fontId="62" fillId="0" borderId="0" applyFont="0" applyFill="0" applyBorder="0" applyAlignment="0" applyProtection="0"/>
    <xf numFmtId="218" fontId="67" fillId="0" borderId="0" applyFont="0" applyFill="0" applyBorder="0" applyAlignment="0" applyProtection="0"/>
    <xf numFmtId="171" fontId="62" fillId="0" borderId="0" applyFont="0" applyFill="0" applyBorder="0" applyAlignment="0" applyProtection="0"/>
    <xf numFmtId="219" fontId="62" fillId="0" borderId="0" applyFont="0" applyFill="0" applyBorder="0" applyAlignment="0" applyProtection="0"/>
    <xf numFmtId="41" fontId="62" fillId="0" borderId="0" applyFont="0" applyFill="0" applyBorder="0" applyAlignment="0" applyProtection="0"/>
    <xf numFmtId="207" fontId="62" fillId="0" borderId="0" applyFont="0" applyFill="0" applyBorder="0" applyAlignment="0" applyProtection="0"/>
    <xf numFmtId="165" fontId="62" fillId="0" borderId="0" applyFont="0" applyFill="0" applyBorder="0" applyAlignment="0" applyProtection="0"/>
    <xf numFmtId="220" fontId="62" fillId="0" borderId="0" applyFont="0" applyFill="0" applyBorder="0" applyAlignment="0" applyProtection="0"/>
    <xf numFmtId="165" fontId="62" fillId="0" borderId="0" applyFont="0" applyFill="0" applyBorder="0" applyAlignment="0" applyProtection="0"/>
    <xf numFmtId="208" fontId="62" fillId="0" borderId="0" applyFont="0" applyFill="0" applyBorder="0" applyAlignment="0" applyProtection="0"/>
    <xf numFmtId="206" fontId="62" fillId="0" borderId="0" applyFont="0" applyFill="0" applyBorder="0" applyAlignment="0" applyProtection="0"/>
    <xf numFmtId="207" fontId="47" fillId="0" borderId="0" applyFont="0" applyFill="0" applyBorder="0" applyAlignment="0" applyProtection="0"/>
    <xf numFmtId="171" fontId="62" fillId="0" borderId="0" applyFont="0" applyFill="0" applyBorder="0" applyAlignment="0" applyProtection="0"/>
    <xf numFmtId="208" fontId="62" fillId="0" borderId="0" applyFont="0" applyFill="0" applyBorder="0" applyAlignment="0" applyProtection="0"/>
    <xf numFmtId="206" fontId="62" fillId="0" borderId="0" applyFont="0" applyFill="0" applyBorder="0" applyAlignment="0" applyProtection="0"/>
    <xf numFmtId="171" fontId="62" fillId="0" borderId="0" applyFont="0" applyFill="0" applyBorder="0" applyAlignment="0" applyProtection="0"/>
    <xf numFmtId="208" fontId="62" fillId="0" borderId="0" applyFont="0" applyFill="0" applyBorder="0" applyAlignment="0" applyProtection="0"/>
    <xf numFmtId="206" fontId="62" fillId="0" borderId="0" applyFont="0" applyFill="0" applyBorder="0" applyAlignment="0" applyProtection="0"/>
    <xf numFmtId="207" fontId="62" fillId="0" borderId="0" applyFont="0" applyFill="0" applyBorder="0" applyAlignment="0" applyProtection="0"/>
    <xf numFmtId="206" fontId="62" fillId="0" borderId="0" applyFont="0" applyFill="0" applyBorder="0" applyAlignment="0" applyProtection="0"/>
    <xf numFmtId="218" fontId="67" fillId="0" borderId="0" applyFont="0" applyFill="0" applyBorder="0" applyAlignment="0" applyProtection="0"/>
    <xf numFmtId="165" fontId="62" fillId="0" borderId="0" applyFont="0" applyFill="0" applyBorder="0" applyAlignment="0" applyProtection="0"/>
    <xf numFmtId="219" fontId="62" fillId="0" borderId="0" applyFont="0" applyFill="0" applyBorder="0" applyAlignment="0" applyProtection="0"/>
    <xf numFmtId="41" fontId="62" fillId="0" borderId="0" applyFont="0" applyFill="0" applyBorder="0" applyAlignment="0" applyProtection="0"/>
    <xf numFmtId="207" fontId="62" fillId="0" borderId="0" applyFont="0" applyFill="0" applyBorder="0" applyAlignment="0" applyProtection="0"/>
    <xf numFmtId="171" fontId="62" fillId="0" borderId="0" applyFont="0" applyFill="0" applyBorder="0" applyAlignment="0" applyProtection="0"/>
    <xf numFmtId="220" fontId="62" fillId="0" borderId="0" applyFont="0" applyFill="0" applyBorder="0" applyAlignment="0" applyProtection="0"/>
    <xf numFmtId="206" fontId="62" fillId="0" borderId="0" applyFont="0" applyFill="0" applyBorder="0" applyAlignment="0" applyProtection="0"/>
    <xf numFmtId="41" fontId="62" fillId="0" borderId="0" applyFont="0" applyFill="0" applyBorder="0" applyAlignment="0" applyProtection="0"/>
    <xf numFmtId="206" fontId="62" fillId="0" borderId="0" applyFont="0" applyFill="0" applyBorder="0" applyAlignment="0" applyProtection="0"/>
    <xf numFmtId="41" fontId="62" fillId="0" borderId="0" applyFont="0" applyFill="0" applyBorder="0" applyAlignment="0" applyProtection="0"/>
    <xf numFmtId="165" fontId="62" fillId="0" borderId="0" applyFont="0" applyFill="0" applyBorder="0" applyAlignment="0" applyProtection="0"/>
    <xf numFmtId="223"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27" fontId="62" fillId="0" borderId="0" applyFont="0" applyFill="0" applyBorder="0" applyAlignment="0" applyProtection="0"/>
    <xf numFmtId="228" fontId="62" fillId="0" borderId="0" applyFont="0" applyFill="0" applyBorder="0" applyAlignment="0" applyProtection="0"/>
    <xf numFmtId="41"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207" fontId="62" fillId="0" borderId="0" applyFont="0" applyFill="0" applyBorder="0" applyAlignment="0" applyProtection="0"/>
    <xf numFmtId="217" fontId="62" fillId="0" borderId="0" applyFont="0" applyFill="0" applyBorder="0" applyAlignment="0" applyProtection="0"/>
    <xf numFmtId="207" fontId="47" fillId="0" borderId="0" applyFont="0" applyFill="0" applyBorder="0" applyAlignment="0" applyProtection="0"/>
    <xf numFmtId="165" fontId="62" fillId="0" borderId="0" applyFont="0" applyFill="0" applyBorder="0" applyAlignment="0" applyProtection="0"/>
    <xf numFmtId="223" fontId="62" fillId="0" borderId="0" applyFont="0" applyFill="0" applyBorder="0" applyAlignment="0" applyProtection="0"/>
    <xf numFmtId="217" fontId="62" fillId="0" borderId="0" applyFont="0" applyFill="0" applyBorder="0" applyAlignment="0" applyProtection="0"/>
    <xf numFmtId="207" fontId="62" fillId="0" borderId="0" applyFont="0" applyFill="0" applyBorder="0" applyAlignment="0" applyProtection="0"/>
    <xf numFmtId="220" fontId="62" fillId="0" borderId="0" applyFont="0" applyFill="0" applyBorder="0" applyAlignment="0" applyProtection="0"/>
    <xf numFmtId="0" fontId="51" fillId="0" borderId="0"/>
    <xf numFmtId="326" fontId="98" fillId="0" borderId="0" applyFont="0" applyFill="0" applyBorder="0" applyAlignment="0" applyProtection="0"/>
    <xf numFmtId="165" fontId="62" fillId="0" borderId="0" applyFont="0" applyFill="0" applyBorder="0" applyAlignment="0" applyProtection="0"/>
    <xf numFmtId="171" fontId="62" fillId="0" borderId="0" applyFont="0" applyFill="0" applyBorder="0" applyAlignment="0" applyProtection="0"/>
    <xf numFmtId="165" fontId="62" fillId="0" borderId="0" applyFont="0" applyFill="0" applyBorder="0" applyAlignment="0" applyProtection="0"/>
    <xf numFmtId="206"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22"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06" fontId="62" fillId="0" borderId="0" applyFont="0" applyFill="0" applyBorder="0" applyAlignment="0" applyProtection="0"/>
    <xf numFmtId="225" fontId="62" fillId="0" borderId="0" applyFont="0" applyFill="0" applyBorder="0" applyAlignment="0" applyProtection="0"/>
    <xf numFmtId="165"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206" fontId="47" fillId="0" borderId="0" applyFont="0" applyFill="0" applyBorder="0" applyAlignment="0" applyProtection="0"/>
    <xf numFmtId="171" fontId="62" fillId="0" borderId="0" applyFont="0" applyFill="0" applyBorder="0" applyAlignment="0" applyProtection="0"/>
    <xf numFmtId="206" fontId="62" fillId="0" borderId="0" applyFont="0" applyFill="0" applyBorder="0" applyAlignment="0" applyProtection="0"/>
    <xf numFmtId="171" fontId="62" fillId="0" borderId="0" applyFont="0" applyFill="0" applyBorder="0" applyAlignment="0" applyProtection="0"/>
    <xf numFmtId="41" fontId="62" fillId="0" borderId="0" applyFont="0" applyFill="0" applyBorder="0" applyAlignment="0" applyProtection="0"/>
    <xf numFmtId="171" fontId="62" fillId="0" borderId="0" applyFont="0" applyFill="0" applyBorder="0" applyAlignment="0" applyProtection="0"/>
    <xf numFmtId="225" fontId="62" fillId="0" borderId="0" applyFont="0" applyFill="0" applyBorder="0" applyAlignment="0" applyProtection="0"/>
    <xf numFmtId="165" fontId="62" fillId="0" borderId="0" applyFont="0" applyFill="0" applyBorder="0" applyAlignment="0" applyProtection="0"/>
    <xf numFmtId="225" fontId="62" fillId="0" borderId="0" applyFont="0" applyFill="0" applyBorder="0" applyAlignment="0" applyProtection="0"/>
    <xf numFmtId="206" fontId="62" fillId="0" borderId="0" applyFont="0" applyFill="0" applyBorder="0" applyAlignment="0" applyProtection="0"/>
    <xf numFmtId="41" fontId="62" fillId="0" borderId="0" applyFont="0" applyFill="0" applyBorder="0" applyAlignment="0" applyProtection="0"/>
    <xf numFmtId="14" fontId="198" fillId="0" borderId="0"/>
    <xf numFmtId="0" fontId="199" fillId="0" borderId="0"/>
    <xf numFmtId="0" fontId="163" fillId="0" borderId="0"/>
    <xf numFmtId="0" fontId="164" fillId="0" borderId="0"/>
    <xf numFmtId="40" fontId="200" fillId="0" borderId="0" applyBorder="0">
      <alignment horizontal="right"/>
    </xf>
    <xf numFmtId="0" fontId="201" fillId="0" borderId="0"/>
    <xf numFmtId="327" fontId="98" fillId="0" borderId="45">
      <alignment horizontal="right" vertical="center"/>
    </xf>
    <xf numFmtId="327" fontId="98" fillId="0" borderId="45">
      <alignment horizontal="right" vertical="center"/>
    </xf>
    <xf numFmtId="327" fontId="98" fillId="0" borderId="45">
      <alignment horizontal="right" vertical="center"/>
    </xf>
    <xf numFmtId="183" fontId="202" fillId="0" borderId="45">
      <alignment horizontal="right" vertical="center"/>
    </xf>
    <xf numFmtId="183" fontId="202" fillId="0" borderId="45">
      <alignment horizontal="right" vertical="center"/>
    </xf>
    <xf numFmtId="327" fontId="98" fillId="0" borderId="45">
      <alignment horizontal="right" vertical="center"/>
    </xf>
    <xf numFmtId="181" fontId="87" fillId="0" borderId="45">
      <alignment horizontal="right" vertical="center"/>
    </xf>
    <xf numFmtId="181" fontId="87" fillId="0" borderId="45">
      <alignment horizontal="right" vertical="center"/>
    </xf>
    <xf numFmtId="181" fontId="87" fillId="0" borderId="45">
      <alignment horizontal="right" vertical="center"/>
    </xf>
    <xf numFmtId="181" fontId="87" fillId="0" borderId="45">
      <alignment horizontal="right" vertical="center"/>
    </xf>
    <xf numFmtId="181" fontId="87" fillId="0" borderId="45">
      <alignment horizontal="right" vertical="center"/>
    </xf>
    <xf numFmtId="181" fontId="87" fillId="0" borderId="45">
      <alignment horizontal="right" vertical="center"/>
    </xf>
    <xf numFmtId="183" fontId="202" fillId="0" borderId="45">
      <alignment horizontal="right" vertical="center"/>
    </xf>
    <xf numFmtId="183" fontId="202" fillId="0" borderId="45">
      <alignment horizontal="right" vertical="center"/>
    </xf>
    <xf numFmtId="183" fontId="202" fillId="0" borderId="45">
      <alignment horizontal="right" vertical="center"/>
    </xf>
    <xf numFmtId="183" fontId="202" fillId="0" borderId="45">
      <alignment horizontal="right" vertical="center"/>
    </xf>
    <xf numFmtId="183" fontId="202" fillId="0" borderId="45">
      <alignment horizontal="right" vertical="center"/>
    </xf>
    <xf numFmtId="183" fontId="202" fillId="0" borderId="45">
      <alignment horizontal="right" vertical="center"/>
    </xf>
    <xf numFmtId="183" fontId="202" fillId="0" borderId="45">
      <alignment horizontal="right" vertical="center"/>
    </xf>
    <xf numFmtId="183" fontId="202" fillId="0" borderId="45">
      <alignment horizontal="right" vertical="center"/>
    </xf>
    <xf numFmtId="183" fontId="202" fillId="0" borderId="45">
      <alignment horizontal="right" vertical="center"/>
    </xf>
    <xf numFmtId="183" fontId="202"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8" fontId="62" fillId="0" borderId="45">
      <alignment horizontal="right" vertical="center"/>
    </xf>
    <xf numFmtId="328" fontId="62"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327" fontId="98" fillId="0" borderId="45">
      <alignment horizontal="righ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7" fillId="0" borderId="0"/>
    <xf numFmtId="167" fontId="7" fillId="0" borderId="0" applyFont="0" applyFill="0" applyBorder="0" applyAlignment="0" applyProtection="0"/>
    <xf numFmtId="0" fontId="9" fillId="0" borderId="0"/>
    <xf numFmtId="44" fontId="6" fillId="0" borderId="0" applyFont="0" applyFill="0" applyBorder="0" applyAlignment="0" applyProtection="0"/>
    <xf numFmtId="167" fontId="7" fillId="0" borderId="0" applyFont="0" applyFill="0" applyBorder="0" applyAlignment="0" applyProtection="0"/>
    <xf numFmtId="0" fontId="9" fillId="0" borderId="0"/>
    <xf numFmtId="167" fontId="7" fillId="0" borderId="0" applyFont="0" applyFill="0" applyBorder="0" applyAlignment="0" applyProtection="0"/>
    <xf numFmtId="0" fontId="9" fillId="0" borderId="0"/>
    <xf numFmtId="0" fontId="7" fillId="0" borderId="0"/>
    <xf numFmtId="0" fontId="9" fillId="0" borderId="0"/>
    <xf numFmtId="167" fontId="7" fillId="0" borderId="0" applyFont="0" applyFill="0" applyBorder="0" applyAlignment="0" applyProtection="0"/>
    <xf numFmtId="0" fontId="9" fillId="0" borderId="0"/>
    <xf numFmtId="167" fontId="7" fillId="0" borderId="0" applyFont="0" applyFill="0" applyBorder="0" applyAlignment="0" applyProtection="0"/>
    <xf numFmtId="0" fontId="9" fillId="0" borderId="0"/>
    <xf numFmtId="0" fontId="7" fillId="0" borderId="0"/>
    <xf numFmtId="167" fontId="7" fillId="0" borderId="0" applyFont="0" applyFill="0" applyBorder="0" applyAlignment="0" applyProtection="0"/>
    <xf numFmtId="0" fontId="7" fillId="0" borderId="0"/>
    <xf numFmtId="0" fontId="7" fillId="0" borderId="0"/>
    <xf numFmtId="0" fontId="7" fillId="0" borderId="0"/>
    <xf numFmtId="3" fontId="49" fillId="0" borderId="46"/>
    <xf numFmtId="3" fontId="49" fillId="0" borderId="46"/>
    <xf numFmtId="1" fontId="72" fillId="0" borderId="46" applyBorder="0" applyAlignment="0">
      <alignment horizontal="center"/>
    </xf>
    <xf numFmtId="1" fontId="72" fillId="0" borderId="46" applyBorder="0" applyAlignment="0">
      <alignment horizontal="center"/>
    </xf>
    <xf numFmtId="3" fontId="49" fillId="0" borderId="46"/>
    <xf numFmtId="3" fontId="49" fillId="0" borderId="46"/>
    <xf numFmtId="3" fontId="49" fillId="0" borderId="46"/>
    <xf numFmtId="3" fontId="49" fillId="0" borderId="46"/>
    <xf numFmtId="0" fontId="77" fillId="0" borderId="46" applyNumberFormat="0" applyFont="0" applyBorder="0">
      <alignment horizontal="left" indent="2"/>
    </xf>
    <xf numFmtId="0" fontId="77" fillId="0" borderId="46" applyNumberFormat="0" applyFont="0" applyBorder="0">
      <alignment horizontal="left" indent="2"/>
    </xf>
    <xf numFmtId="0" fontId="77" fillId="0" borderId="46" applyNumberFormat="0" applyFont="0" applyBorder="0" applyAlignment="0">
      <alignment horizontal="center"/>
    </xf>
    <xf numFmtId="0" fontId="77" fillId="0" borderId="46" applyNumberFormat="0" applyFont="0" applyBorder="0" applyAlignment="0">
      <alignment horizontal="center"/>
    </xf>
    <xf numFmtId="271" fontId="39" fillId="0" borderId="48" applyFill="0" applyProtection="0"/>
    <xf numFmtId="271" fontId="39" fillId="0" borderId="48" applyFill="0" applyProtection="0"/>
    <xf numFmtId="291" fontId="39" fillId="0" borderId="48" applyFill="0" applyProtection="0"/>
    <xf numFmtId="291" fontId="39" fillId="0" borderId="48" applyFill="0" applyProtection="0"/>
    <xf numFmtId="294" fontId="51" fillId="0" borderId="46"/>
    <xf numFmtId="294" fontId="51" fillId="0" borderId="46"/>
    <xf numFmtId="0" fontId="61" fillId="0" borderId="49">
      <alignment horizontal="left" vertical="center"/>
    </xf>
    <xf numFmtId="0" fontId="61" fillId="0" borderId="49">
      <alignment horizontal="left" vertical="center"/>
    </xf>
    <xf numFmtId="0" fontId="61" fillId="0" borderId="49">
      <alignment horizontal="left" vertical="center"/>
    </xf>
    <xf numFmtId="0" fontId="61" fillId="0" borderId="49">
      <alignment horizontal="left" vertical="center"/>
    </xf>
    <xf numFmtId="0" fontId="61" fillId="0" borderId="49">
      <alignment horizontal="left" vertical="center"/>
    </xf>
    <xf numFmtId="0" fontId="61" fillId="0" borderId="49">
      <alignment horizontal="left" vertical="center"/>
    </xf>
    <xf numFmtId="0" fontId="61" fillId="0" borderId="49">
      <alignment horizontal="left" vertical="center"/>
    </xf>
    <xf numFmtId="0" fontId="61" fillId="0" borderId="49">
      <alignment horizontal="left" vertical="center"/>
    </xf>
    <xf numFmtId="5" fontId="153" fillId="35" borderId="46" applyNumberFormat="0" applyAlignment="0">
      <alignment horizontal="left" vertical="top"/>
    </xf>
    <xf numFmtId="5" fontId="153" fillId="35" borderId="46" applyNumberFormat="0" applyAlignment="0">
      <alignment horizontal="left" vertical="top"/>
    </xf>
    <xf numFmtId="305" fontId="153" fillId="35" borderId="46" applyNumberFormat="0" applyAlignment="0">
      <alignment horizontal="left" vertical="top"/>
    </xf>
    <xf numFmtId="49" fontId="154" fillId="0" borderId="46">
      <alignment vertical="center"/>
    </xf>
    <xf numFmtId="49" fontId="154" fillId="0" borderId="46">
      <alignment vertical="center"/>
    </xf>
    <xf numFmtId="10" fontId="141" fillId="36"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0" fontId="141" fillId="36" borderId="46" applyNumberFormat="0" applyBorder="0" applyAlignment="0" applyProtection="0"/>
    <xf numFmtId="10" fontId="141" fillId="36"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0" fontId="141" fillId="32" borderId="46" applyNumberFormat="0" applyBorder="0" applyAlignment="0" applyProtection="0"/>
    <xf numFmtId="192" fontId="162" fillId="0" borderId="50" applyNumberFormat="0" applyFont="0" applyFill="0" applyBorder="0">
      <alignment horizontal="center"/>
    </xf>
    <xf numFmtId="192" fontId="162" fillId="0" borderId="50" applyNumberFormat="0" applyFont="0" applyFill="0" applyBorder="0">
      <alignment horizontal="center"/>
    </xf>
    <xf numFmtId="183" fontId="82" fillId="0" borderId="50"/>
    <xf numFmtId="183" fontId="82" fillId="0" borderId="50"/>
    <xf numFmtId="307" fontId="165" fillId="0" borderId="50"/>
    <xf numFmtId="0" fontId="98" fillId="0" borderId="46"/>
    <xf numFmtId="0" fontId="168" fillId="0" borderId="46" applyNumberFormat="0" applyFont="0" applyFill="0" applyBorder="0" applyAlignment="0">
      <alignment horizontal="center"/>
    </xf>
    <xf numFmtId="0" fontId="168" fillId="0" borderId="46" applyNumberFormat="0" applyFont="0" applyFill="0" applyBorder="0" applyAlignment="0">
      <alignment horizontal="center"/>
    </xf>
    <xf numFmtId="0" fontId="181" fillId="1" borderId="49" applyNumberFormat="0" applyFont="0" applyAlignment="0">
      <alignment horizontal="center"/>
    </xf>
    <xf numFmtId="0" fontId="181" fillId="1" borderId="49" applyNumberFormat="0" applyFont="0" applyAlignment="0">
      <alignment horizontal="center"/>
    </xf>
    <xf numFmtId="0" fontId="181" fillId="1" borderId="49" applyNumberFormat="0" applyFont="0" applyAlignment="0">
      <alignment horizontal="center"/>
    </xf>
    <xf numFmtId="0" fontId="181" fillId="1" borderId="49" applyNumberFormat="0" applyFont="0" applyAlignment="0">
      <alignment horizontal="center"/>
    </xf>
  </cellStyleXfs>
  <cellXfs count="735">
    <xf numFmtId="0" fontId="0" fillId="0" borderId="0" xfId="0"/>
    <xf numFmtId="0" fontId="3" fillId="0" borderId="0" xfId="0" applyFont="1" applyFill="1"/>
    <xf numFmtId="0" fontId="4" fillId="0" borderId="0"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4" fillId="0" borderId="2" xfId="3" applyFont="1" applyFill="1" applyBorder="1" applyAlignment="1">
      <alignment horizontal="center" vertical="center" wrapText="1"/>
    </xf>
    <xf numFmtId="168" fontId="2" fillId="0" borderId="2" xfId="3" applyNumberFormat="1" applyFont="1" applyFill="1" applyBorder="1" applyAlignment="1">
      <alignment horizontal="center" vertical="center" wrapText="1"/>
    </xf>
    <xf numFmtId="0" fontId="5" fillId="0" borderId="2" xfId="3" applyFont="1" applyFill="1" applyBorder="1" applyAlignment="1">
      <alignment horizontal="center" vertical="center" wrapText="1"/>
    </xf>
    <xf numFmtId="0" fontId="2" fillId="0" borderId="0" xfId="0" applyFont="1" applyFill="1"/>
    <xf numFmtId="0" fontId="3" fillId="0" borderId="2" xfId="3" applyFont="1" applyFill="1" applyBorder="1" applyAlignment="1">
      <alignment horizontal="center" vertical="center" wrapText="1"/>
    </xf>
    <xf numFmtId="0" fontId="3" fillId="0" borderId="2" xfId="0" applyFont="1" applyFill="1" applyBorder="1" applyAlignment="1">
      <alignment horizontal="center" vertical="center" wrapText="1"/>
    </xf>
    <xf numFmtId="3" fontId="3" fillId="0" borderId="2" xfId="4" applyNumberFormat="1" applyFont="1" applyFill="1" applyBorder="1" applyAlignment="1">
      <alignment horizontal="center" vertical="center" wrapText="1"/>
    </xf>
    <xf numFmtId="3" fontId="2" fillId="0" borderId="2" xfId="4"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left" vertical="top"/>
    </xf>
    <xf numFmtId="0" fontId="4" fillId="0" borderId="0" xfId="0" applyFont="1" applyFill="1"/>
    <xf numFmtId="0" fontId="3" fillId="0" borderId="2" xfId="3" applyFont="1" applyFill="1" applyBorder="1" applyAlignment="1">
      <alignment horizontal="center" vertical="center"/>
    </xf>
    <xf numFmtId="0" fontId="4" fillId="0" borderId="2"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0" xfId="0" applyFont="1" applyFill="1"/>
    <xf numFmtId="0" fontId="3" fillId="0" borderId="2" xfId="3" applyNumberFormat="1" applyFont="1" applyFill="1" applyBorder="1" applyAlignment="1">
      <alignment horizontal="center" vertical="center" wrapText="1"/>
    </xf>
    <xf numFmtId="0" fontId="5" fillId="0" borderId="2" xfId="3" applyNumberFormat="1" applyFont="1" applyFill="1" applyBorder="1" applyAlignment="1">
      <alignment horizontal="center" vertical="center" wrapText="1"/>
    </xf>
    <xf numFmtId="0" fontId="3" fillId="0" borderId="2" xfId="5" applyFont="1" applyFill="1" applyBorder="1" applyAlignment="1">
      <alignment horizontal="center" vertical="center" wrapText="1"/>
    </xf>
    <xf numFmtId="2" fontId="3" fillId="0" borderId="2" xfId="3" applyNumberFormat="1" applyFont="1" applyFill="1" applyBorder="1" applyAlignment="1">
      <alignment horizontal="center" vertical="center" wrapText="1"/>
    </xf>
    <xf numFmtId="43" fontId="5" fillId="0" borderId="2" xfId="7" applyFont="1" applyFill="1" applyBorder="1" applyAlignment="1">
      <alignment horizontal="center" vertical="center" wrapText="1"/>
    </xf>
    <xf numFmtId="43" fontId="5" fillId="0" borderId="2" xfId="3" applyNumberFormat="1" applyFont="1" applyFill="1" applyBorder="1" applyAlignment="1">
      <alignment horizontal="center" vertical="center" wrapText="1"/>
    </xf>
    <xf numFmtId="0" fontId="5" fillId="0" borderId="2" xfId="15" applyFont="1" applyFill="1" applyBorder="1" applyAlignment="1">
      <alignment horizontal="center" vertical="center" wrapText="1"/>
    </xf>
    <xf numFmtId="43" fontId="5" fillId="0" borderId="2" xfId="15" applyNumberFormat="1" applyFont="1" applyFill="1" applyBorder="1" applyAlignment="1">
      <alignment horizontal="center" vertical="center" wrapText="1"/>
    </xf>
    <xf numFmtId="0" fontId="3" fillId="0" borderId="2" xfId="15" applyFont="1" applyFill="1" applyBorder="1" applyAlignment="1">
      <alignment horizontal="center" vertical="center" wrapText="1"/>
    </xf>
    <xf numFmtId="0" fontId="3" fillId="0" borderId="2" xfId="16"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xf>
    <xf numFmtId="0" fontId="3" fillId="0" borderId="0" xfId="0" applyFont="1" applyFill="1" applyAlignment="1">
      <alignment horizontal="center"/>
    </xf>
    <xf numFmtId="0" fontId="3" fillId="0" borderId="0" xfId="0" applyFont="1" applyFill="1" applyAlignment="1">
      <alignment horizontal="right"/>
    </xf>
    <xf numFmtId="0" fontId="12" fillId="0" borderId="0" xfId="0" applyFont="1" applyAlignment="1">
      <alignment horizontal="center" vertical="center"/>
    </xf>
    <xf numFmtId="0" fontId="12" fillId="0" borderId="0" xfId="0" applyFont="1"/>
    <xf numFmtId="0" fontId="12" fillId="0" borderId="6" xfId="3" applyFont="1" applyFill="1" applyBorder="1" applyAlignment="1">
      <alignment horizontal="center" vertical="center" wrapText="1"/>
    </xf>
    <xf numFmtId="169" fontId="11" fillId="0" borderId="2" xfId="0" applyNumberFormat="1" applyFont="1" applyBorder="1" applyAlignment="1">
      <alignment horizontal="center" vertical="center" wrapText="1"/>
    </xf>
    <xf numFmtId="170" fontId="12" fillId="0" borderId="0" xfId="0" applyNumberFormat="1" applyFont="1"/>
    <xf numFmtId="0" fontId="11" fillId="2" borderId="2" xfId="0" applyFont="1" applyFill="1" applyBorder="1" applyAlignment="1">
      <alignment horizontal="justify" vertical="center"/>
    </xf>
    <xf numFmtId="0" fontId="11" fillId="0" borderId="2" xfId="0" applyFont="1" applyBorder="1" applyAlignment="1">
      <alignment horizontal="center"/>
    </xf>
    <xf numFmtId="169" fontId="11" fillId="0" borderId="2" xfId="0" applyNumberFormat="1" applyFont="1" applyBorder="1"/>
    <xf numFmtId="3" fontId="14" fillId="2" borderId="2" xfId="1" applyNumberFormat="1" applyFont="1" applyFill="1" applyBorder="1" applyAlignment="1">
      <alignment horizontal="right" vertical="center" wrapText="1"/>
    </xf>
    <xf numFmtId="3" fontId="11" fillId="0" borderId="2" xfId="0" applyNumberFormat="1" applyFont="1" applyBorder="1"/>
    <xf numFmtId="0" fontId="15" fillId="2" borderId="2" xfId="0" applyFont="1" applyFill="1" applyBorder="1" applyAlignment="1">
      <alignment horizontal="center" vertical="center" wrapText="1"/>
    </xf>
    <xf numFmtId="0" fontId="15" fillId="2" borderId="2" xfId="0" applyFont="1" applyFill="1" applyBorder="1" applyAlignment="1">
      <alignment vertical="center" wrapText="1"/>
    </xf>
    <xf numFmtId="169" fontId="16" fillId="2" borderId="2" xfId="1" applyNumberFormat="1" applyFont="1" applyFill="1" applyBorder="1" applyAlignment="1">
      <alignment horizontal="right" vertical="center" wrapText="1"/>
    </xf>
    <xf numFmtId="3" fontId="16" fillId="2" borderId="2" xfId="1" applyNumberFormat="1" applyFont="1" applyFill="1" applyBorder="1" applyAlignment="1">
      <alignment horizontal="right" vertical="center" wrapText="1"/>
    </xf>
    <xf numFmtId="3" fontId="12" fillId="0" borderId="2" xfId="0" applyNumberFormat="1" applyFont="1" applyBorder="1" applyAlignment="1">
      <alignment vertical="center" wrapText="1"/>
    </xf>
    <xf numFmtId="0" fontId="12" fillId="0" borderId="2" xfId="0" applyFont="1" applyBorder="1" applyAlignment="1">
      <alignment horizontal="center" vertical="center"/>
    </xf>
    <xf numFmtId="0" fontId="15" fillId="2" borderId="2" xfId="0" applyFont="1" applyFill="1" applyBorder="1" applyAlignment="1">
      <alignment horizontal="left" vertical="center" wrapText="1"/>
    </xf>
    <xf numFmtId="0" fontId="16" fillId="2" borderId="2" xfId="0" applyFont="1" applyFill="1" applyBorder="1" applyAlignment="1">
      <alignment vertical="center" wrapText="1"/>
    </xf>
    <xf numFmtId="0" fontId="16" fillId="2" borderId="2" xfId="0" applyFont="1" applyFill="1" applyBorder="1" applyAlignment="1">
      <alignment horizontal="center" vertical="center" wrapText="1"/>
    </xf>
    <xf numFmtId="0" fontId="17" fillId="2" borderId="2" xfId="0" applyFont="1" applyFill="1" applyBorder="1" applyAlignment="1">
      <alignment vertical="center" wrapText="1"/>
    </xf>
    <xf numFmtId="0" fontId="18" fillId="2" borderId="2" xfId="0" applyFont="1" applyFill="1" applyBorder="1" applyAlignment="1">
      <alignment vertical="center" wrapText="1"/>
    </xf>
    <xf numFmtId="0" fontId="19" fillId="0" borderId="2" xfId="0" applyFont="1" applyFill="1" applyBorder="1" applyAlignment="1">
      <alignment horizontal="center" vertical="center"/>
    </xf>
    <xf numFmtId="169" fontId="20" fillId="0" borderId="2" xfId="0" applyNumberFormat="1" applyFont="1" applyFill="1" applyBorder="1" applyAlignment="1">
      <alignment horizontal="right" vertical="center"/>
    </xf>
    <xf numFmtId="0" fontId="11" fillId="0" borderId="0" xfId="0" applyFont="1"/>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 fontId="17" fillId="0" borderId="2" xfId="17" applyNumberFormat="1" applyFont="1" applyFill="1" applyBorder="1" applyAlignment="1">
      <alignment horizontal="center" vertical="center" wrapText="1"/>
    </xf>
    <xf numFmtId="169" fontId="17" fillId="0" borderId="2" xfId="0" applyNumberFormat="1" applyFont="1" applyFill="1" applyBorder="1" applyAlignment="1">
      <alignment vertical="center"/>
    </xf>
    <xf numFmtId="169" fontId="17" fillId="0" borderId="2" xfId="0" applyNumberFormat="1" applyFont="1" applyFill="1" applyBorder="1" applyAlignment="1">
      <alignment horizontal="right" vertical="center"/>
    </xf>
    <xf numFmtId="169" fontId="17" fillId="0" borderId="2" xfId="1" applyNumberFormat="1" applyFont="1" applyFill="1" applyBorder="1" applyAlignment="1">
      <alignment vertical="center"/>
    </xf>
    <xf numFmtId="169" fontId="17" fillId="0" borderId="2" xfId="1" applyNumberFormat="1" applyFont="1" applyFill="1" applyBorder="1" applyAlignment="1">
      <alignment horizontal="right" vertical="center"/>
    </xf>
    <xf numFmtId="0" fontId="17" fillId="0" borderId="2" xfId="0" applyFont="1" applyFill="1" applyBorder="1" applyAlignment="1">
      <alignment vertical="center" wrapText="1"/>
    </xf>
    <xf numFmtId="169" fontId="17" fillId="0" borderId="2" xfId="1" applyNumberFormat="1" applyFont="1" applyFill="1" applyBorder="1" applyAlignment="1">
      <alignment horizontal="center" vertical="center" wrapText="1"/>
    </xf>
    <xf numFmtId="0" fontId="17" fillId="0" borderId="2" xfId="6" applyFont="1" applyFill="1" applyBorder="1" applyAlignment="1">
      <alignment vertical="center" wrapText="1"/>
    </xf>
    <xf numFmtId="3" fontId="17" fillId="0" borderId="2" xfId="17" applyNumberFormat="1" applyFont="1" applyFill="1" applyBorder="1" applyAlignment="1">
      <alignment horizontal="center" vertical="center" wrapText="1"/>
    </xf>
    <xf numFmtId="0" fontId="21" fillId="0" borderId="2" xfId="0" applyFont="1" applyFill="1" applyBorder="1" applyAlignment="1">
      <alignment horizontal="left" vertical="center" wrapText="1"/>
    </xf>
    <xf numFmtId="1" fontId="21" fillId="0" borderId="2" xfId="17" applyNumberFormat="1" applyFont="1" applyFill="1" applyBorder="1" applyAlignment="1">
      <alignment horizontal="center" vertical="center" wrapText="1"/>
    </xf>
    <xf numFmtId="169" fontId="12" fillId="0" borderId="0" xfId="0" applyNumberFormat="1" applyFont="1"/>
    <xf numFmtId="169" fontId="11" fillId="0" borderId="2" xfId="0" applyNumberFormat="1" applyFont="1" applyBorder="1" applyAlignment="1">
      <alignment horizontal="center" vertical="center"/>
    </xf>
    <xf numFmtId="0" fontId="11" fillId="0" borderId="0" xfId="0" applyFont="1" applyAlignment="1">
      <alignment horizontal="center" vertical="center"/>
    </xf>
    <xf numFmtId="0" fontId="22" fillId="0" borderId="2" xfId="0" applyFont="1" applyBorder="1" applyAlignment="1">
      <alignment horizontal="center" vertical="center"/>
    </xf>
    <xf numFmtId="0" fontId="19" fillId="0" borderId="2" xfId="6" applyFont="1" applyFill="1" applyBorder="1" applyAlignment="1">
      <alignment vertical="center" wrapText="1"/>
    </xf>
    <xf numFmtId="0" fontId="22" fillId="0" borderId="2" xfId="0" applyFont="1" applyBorder="1" applyAlignment="1">
      <alignment horizontal="center"/>
    </xf>
    <xf numFmtId="169" fontId="22" fillId="0" borderId="2" xfId="0" applyNumberFormat="1" applyFont="1" applyBorder="1" applyAlignment="1">
      <alignment horizontal="center" vertical="center"/>
    </xf>
    <xf numFmtId="169" fontId="22" fillId="0" borderId="2" xfId="0" applyNumberFormat="1" applyFont="1" applyBorder="1" applyAlignment="1">
      <alignment vertical="center"/>
    </xf>
    <xf numFmtId="0" fontId="22" fillId="0" borderId="0" xfId="0" applyFont="1"/>
    <xf numFmtId="0" fontId="12" fillId="0" borderId="2" xfId="0" applyFont="1" applyBorder="1" applyAlignment="1">
      <alignment vertical="center" wrapText="1"/>
    </xf>
    <xf numFmtId="3" fontId="12" fillId="0" borderId="2" xfId="0" applyNumberFormat="1" applyFont="1" applyBorder="1" applyAlignment="1">
      <alignment horizontal="right" vertical="center" wrapText="1"/>
    </xf>
    <xf numFmtId="0" fontId="22" fillId="0" borderId="2" xfId="0" applyFont="1" applyBorder="1" applyAlignment="1">
      <alignment vertical="center" wrapText="1"/>
    </xf>
    <xf numFmtId="169" fontId="19" fillId="0" borderId="2" xfId="0" applyNumberFormat="1" applyFont="1" applyFill="1" applyBorder="1" applyAlignment="1">
      <alignment vertical="center"/>
    </xf>
    <xf numFmtId="0" fontId="12" fillId="0" borderId="2" xfId="0" applyFont="1" applyBorder="1"/>
    <xf numFmtId="1" fontId="19" fillId="0" borderId="2" xfId="17" applyNumberFormat="1" applyFont="1" applyFill="1" applyBorder="1" applyAlignment="1">
      <alignment horizontal="center" vertical="center" wrapText="1"/>
    </xf>
    <xf numFmtId="0" fontId="22" fillId="0" borderId="2" xfId="0" applyFont="1" applyBorder="1"/>
    <xf numFmtId="0" fontId="11" fillId="0" borderId="2" xfId="0" applyFont="1" applyBorder="1"/>
    <xf numFmtId="0" fontId="23" fillId="0" borderId="2" xfId="0" applyFont="1" applyBorder="1" applyAlignment="1">
      <alignment horizontal="center" vertical="center"/>
    </xf>
    <xf numFmtId="0" fontId="23" fillId="0" borderId="2" xfId="0" applyFont="1" applyBorder="1"/>
    <xf numFmtId="0" fontId="12" fillId="0" borderId="2" xfId="0" applyFont="1" applyBorder="1" applyAlignment="1">
      <alignment horizontal="center" vertical="center" wrapText="1"/>
    </xf>
    <xf numFmtId="0" fontId="23" fillId="0" borderId="0" xfId="0" applyFont="1" applyAlignment="1">
      <alignment horizontal="center" vertical="center"/>
    </xf>
    <xf numFmtId="0" fontId="23" fillId="0" borderId="2" xfId="0" applyFont="1" applyFill="1" applyBorder="1" applyAlignment="1">
      <alignment vertical="center" wrapText="1"/>
    </xf>
    <xf numFmtId="0" fontId="15" fillId="0" borderId="9" xfId="0" applyFont="1" applyBorder="1" applyAlignment="1">
      <alignment horizontal="center" vertical="center" wrapText="1"/>
    </xf>
    <xf numFmtId="0" fontId="15" fillId="0" borderId="9" xfId="0" applyFont="1" applyBorder="1" applyAlignment="1">
      <alignment vertical="center" wrapText="1"/>
    </xf>
    <xf numFmtId="0" fontId="23" fillId="0" borderId="2" xfId="0" applyFont="1" applyFill="1" applyBorder="1" applyAlignment="1">
      <alignment wrapText="1"/>
    </xf>
    <xf numFmtId="0" fontId="12" fillId="0" borderId="0" xfId="0" applyFont="1" applyAlignment="1">
      <alignment vertical="center" wrapText="1"/>
    </xf>
    <xf numFmtId="0" fontId="12" fillId="0" borderId="2" xfId="0" applyFont="1" applyBorder="1" applyAlignment="1">
      <alignment horizontal="center"/>
    </xf>
    <xf numFmtId="0" fontId="12" fillId="0" borderId="10" xfId="0" applyFont="1" applyBorder="1" applyAlignment="1">
      <alignment horizontal="center" vertical="center"/>
    </xf>
    <xf numFmtId="0" fontId="15" fillId="0" borderId="2" xfId="0" applyFont="1" applyBorder="1" applyAlignment="1">
      <alignment vertical="center" wrapText="1"/>
    </xf>
    <xf numFmtId="0" fontId="17" fillId="0" borderId="2" xfId="0" applyFont="1" applyBorder="1" applyAlignment="1">
      <alignment horizontal="justify" vertical="center"/>
    </xf>
    <xf numFmtId="0" fontId="23" fillId="0" borderId="2" xfId="0" applyFont="1" applyFill="1" applyBorder="1" applyAlignment="1">
      <alignment horizontal="justify" vertical="center"/>
    </xf>
    <xf numFmtId="0" fontId="11" fillId="0" borderId="2" xfId="0" applyFont="1" applyFill="1" applyBorder="1" applyAlignment="1">
      <alignment vertical="center" wrapText="1"/>
    </xf>
    <xf numFmtId="169" fontId="22" fillId="0" borderId="2" xfId="0" applyNumberFormat="1" applyFont="1" applyBorder="1"/>
    <xf numFmtId="0" fontId="12" fillId="0" borderId="2" xfId="0" applyFont="1" applyBorder="1" applyAlignment="1">
      <alignment wrapText="1"/>
    </xf>
    <xf numFmtId="0" fontId="26" fillId="0" borderId="0" xfId="0" applyFont="1" applyFill="1" applyAlignment="1">
      <alignment vertical="center" wrapText="1"/>
    </xf>
    <xf numFmtId="0" fontId="26" fillId="0" borderId="0" xfId="0" applyFont="1" applyFill="1" applyAlignment="1">
      <alignment horizontal="center" vertical="center" wrapText="1"/>
    </xf>
    <xf numFmtId="0" fontId="11" fillId="0" borderId="0" xfId="0" applyFont="1" applyFill="1" applyBorder="1" applyAlignment="1">
      <alignment horizontal="center" wrapText="1"/>
    </xf>
    <xf numFmtId="43" fontId="11" fillId="0" borderId="2" xfId="1" applyNumberFormat="1" applyFont="1" applyFill="1" applyBorder="1" applyAlignment="1">
      <alignment vertical="center" wrapText="1"/>
    </xf>
    <xf numFmtId="43" fontId="11" fillId="0" borderId="2" xfId="1" applyNumberFormat="1" applyFont="1" applyFill="1" applyBorder="1" applyAlignment="1">
      <alignment horizontal="left" vertical="center" wrapText="1"/>
    </xf>
    <xf numFmtId="43" fontId="22" fillId="0" borderId="2" xfId="1" applyNumberFormat="1" applyFont="1" applyFill="1" applyBorder="1" applyAlignment="1">
      <alignment vertical="center" wrapText="1"/>
    </xf>
    <xf numFmtId="0" fontId="22" fillId="0" borderId="2" xfId="0" applyFont="1" applyFill="1" applyBorder="1" applyAlignment="1">
      <alignment horizontal="center"/>
    </xf>
    <xf numFmtId="43" fontId="22" fillId="0" borderId="2" xfId="1" applyNumberFormat="1" applyFont="1" applyFill="1" applyBorder="1" applyAlignment="1">
      <alignment horizontal="left" vertical="center" wrapText="1"/>
    </xf>
    <xf numFmtId="43" fontId="12" fillId="0" borderId="2" xfId="40" applyNumberFormat="1" applyFont="1" applyFill="1" applyBorder="1" applyAlignment="1">
      <alignment horizontal="left" vertical="center" wrapText="1"/>
    </xf>
    <xf numFmtId="43" fontId="12" fillId="0" borderId="2" xfId="1" applyNumberFormat="1" applyFont="1" applyFill="1" applyBorder="1" applyAlignment="1">
      <alignment vertical="center" wrapText="1"/>
    </xf>
    <xf numFmtId="43" fontId="12" fillId="0" borderId="2" xfId="1" applyNumberFormat="1" applyFont="1" applyFill="1" applyBorder="1" applyAlignment="1">
      <alignment horizontal="left" vertical="center" wrapText="1"/>
    </xf>
    <xf numFmtId="0" fontId="22" fillId="0" borderId="5" xfId="0" applyFont="1" applyFill="1" applyBorder="1"/>
    <xf numFmtId="0" fontId="12" fillId="2" borderId="2" xfId="0" applyFont="1" applyFill="1" applyBorder="1" applyAlignment="1">
      <alignment horizontal="left" vertical="center" wrapText="1"/>
    </xf>
    <xf numFmtId="43" fontId="12" fillId="2" borderId="2" xfId="40" applyNumberFormat="1" applyFont="1" applyFill="1" applyBorder="1" applyAlignment="1">
      <alignment horizontal="left" vertical="center" wrapText="1"/>
    </xf>
    <xf numFmtId="43" fontId="12" fillId="2" borderId="2" xfId="0" applyNumberFormat="1" applyFont="1" applyFill="1" applyBorder="1" applyAlignment="1">
      <alignment vertical="center" wrapText="1"/>
    </xf>
    <xf numFmtId="43" fontId="12" fillId="2" borderId="2" xfId="0" applyNumberFormat="1" applyFont="1" applyFill="1" applyBorder="1" applyAlignment="1">
      <alignment horizontal="right" vertical="center" wrapText="1"/>
    </xf>
    <xf numFmtId="43" fontId="22" fillId="0" borderId="2" xfId="40" applyNumberFormat="1" applyFont="1" applyFill="1" applyBorder="1" applyAlignment="1">
      <alignment horizontal="left" vertical="center" wrapText="1"/>
    </xf>
    <xf numFmtId="0" fontId="11" fillId="2" borderId="3" xfId="0" applyFont="1" applyFill="1" applyBorder="1" applyAlignment="1">
      <alignment horizontal="center" vertical="center"/>
    </xf>
    <xf numFmtId="0" fontId="11" fillId="2" borderId="2" xfId="0" applyFont="1" applyFill="1" applyBorder="1"/>
    <xf numFmtId="43" fontId="11" fillId="2" borderId="2" xfId="0" applyNumberFormat="1" applyFont="1" applyFill="1" applyBorder="1" applyAlignment="1">
      <alignment vertical="center" wrapText="1"/>
    </xf>
    <xf numFmtId="0" fontId="12" fillId="2" borderId="3" xfId="0" applyFont="1" applyFill="1" applyBorder="1" applyAlignment="1">
      <alignment horizontal="center" vertical="center"/>
    </xf>
    <xf numFmtId="0" fontId="12" fillId="2" borderId="2" xfId="0" applyFont="1" applyFill="1" applyBorder="1" applyAlignment="1">
      <alignment vertical="center"/>
    </xf>
    <xf numFmtId="0" fontId="12" fillId="2" borderId="2" xfId="0" applyFont="1" applyFill="1" applyBorder="1" applyAlignment="1">
      <alignment vertical="center" wrapText="1"/>
    </xf>
    <xf numFmtId="168" fontId="2"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68" fontId="5" fillId="0" borderId="2" xfId="3" applyNumberFormat="1" applyFont="1" applyFill="1" applyBorder="1" applyAlignment="1">
      <alignment horizontal="center" vertical="center" wrapText="1"/>
    </xf>
    <xf numFmtId="168" fontId="3" fillId="0" borderId="2" xfId="3" applyNumberFormat="1" applyFont="1" applyFill="1" applyBorder="1" applyAlignment="1">
      <alignment horizontal="center" vertical="center" wrapText="1"/>
    </xf>
    <xf numFmtId="168" fontId="4" fillId="0" borderId="2" xfId="3" applyNumberFormat="1" applyFont="1" applyFill="1" applyBorder="1" applyAlignment="1">
      <alignment horizontal="center" vertical="center" wrapText="1"/>
    </xf>
    <xf numFmtId="168" fontId="5" fillId="0" borderId="2" xfId="0" applyNumberFormat="1" applyFont="1" applyFill="1" applyBorder="1" applyAlignment="1">
      <alignment horizontal="center" vertical="center" wrapText="1"/>
    </xf>
    <xf numFmtId="3" fontId="3" fillId="0" borderId="2" xfId="3" applyNumberFormat="1" applyFont="1" applyFill="1" applyBorder="1" applyAlignment="1">
      <alignment horizontal="center" vertical="center" wrapText="1"/>
    </xf>
    <xf numFmtId="0" fontId="3" fillId="3" borderId="2" xfId="3" applyFont="1" applyFill="1" applyBorder="1" applyAlignment="1">
      <alignment horizontal="center" vertical="center" wrapText="1"/>
    </xf>
    <xf numFmtId="0" fontId="28" fillId="3" borderId="2" xfId="3" applyFont="1" applyFill="1" applyBorder="1" applyAlignment="1">
      <alignment horizontal="center" vertical="center" wrapText="1"/>
    </xf>
    <xf numFmtId="168" fontId="28" fillId="3" borderId="2" xfId="3" applyNumberFormat="1" applyFont="1" applyFill="1" applyBorder="1" applyAlignment="1">
      <alignment horizontal="center" vertical="center" wrapText="1"/>
    </xf>
    <xf numFmtId="3" fontId="28" fillId="3" borderId="2" xfId="3" applyNumberFormat="1" applyFont="1" applyFill="1" applyBorder="1" applyAlignment="1">
      <alignment horizontal="center" vertical="center" wrapText="1"/>
    </xf>
    <xf numFmtId="0" fontId="28" fillId="3" borderId="2" xfId="3" applyFont="1" applyFill="1" applyBorder="1" applyAlignment="1">
      <alignment horizontal="center" vertical="center"/>
    </xf>
    <xf numFmtId="168" fontId="3" fillId="0" borderId="0" xfId="0" applyNumberFormat="1" applyFont="1" applyFill="1" applyAlignment="1">
      <alignment horizontal="right"/>
    </xf>
    <xf numFmtId="0" fontId="28" fillId="3" borderId="2" xfId="5" applyFont="1" applyFill="1" applyBorder="1" applyAlignment="1">
      <alignment horizontal="center" vertical="center" wrapText="1"/>
    </xf>
    <xf numFmtId="0" fontId="3" fillId="2" borderId="2" xfId="3" applyFont="1" applyFill="1" applyBorder="1" applyAlignment="1">
      <alignment horizontal="center" vertical="center" wrapText="1"/>
    </xf>
    <xf numFmtId="43" fontId="3" fillId="2" borderId="2" xfId="7" applyFont="1" applyFill="1" applyBorder="1" applyAlignment="1">
      <alignment horizontal="center" vertical="center" wrapText="1"/>
    </xf>
    <xf numFmtId="168" fontId="3" fillId="2" borderId="2" xfId="3" applyNumberFormat="1" applyFont="1" applyFill="1" applyBorder="1" applyAlignment="1">
      <alignment horizontal="center" vertical="center" wrapText="1"/>
    </xf>
    <xf numFmtId="3" fontId="3" fillId="2" borderId="2" xfId="3" applyNumberFormat="1" applyFont="1" applyFill="1" applyBorder="1" applyAlignment="1">
      <alignment horizontal="center" vertical="center" wrapText="1"/>
    </xf>
    <xf numFmtId="0" fontId="3" fillId="2" borderId="2" xfId="3" applyFont="1" applyFill="1" applyBorder="1" applyAlignment="1">
      <alignment horizontal="center" vertical="center"/>
    </xf>
    <xf numFmtId="0" fontId="3" fillId="2" borderId="0" xfId="0" applyFont="1" applyFill="1"/>
    <xf numFmtId="0" fontId="3" fillId="2" borderId="2" xfId="14" applyFont="1" applyFill="1" applyBorder="1" applyAlignment="1">
      <alignment horizontal="center" vertical="center" wrapText="1"/>
    </xf>
    <xf numFmtId="0" fontId="28" fillId="2" borderId="2" xfId="3" applyFont="1" applyFill="1" applyBorder="1" applyAlignment="1">
      <alignment horizontal="center" vertical="center" wrapText="1"/>
    </xf>
    <xf numFmtId="0" fontId="28" fillId="2" borderId="0" xfId="0" applyFont="1" applyFill="1"/>
    <xf numFmtId="2" fontId="3" fillId="2" borderId="2" xfId="3" applyNumberFormat="1" applyFont="1" applyFill="1" applyBorder="1" applyAlignment="1">
      <alignment horizontal="center" vertical="center" wrapText="1"/>
    </xf>
    <xf numFmtId="0" fontId="3" fillId="2" borderId="2" xfId="5" applyFont="1" applyFill="1" applyBorder="1" applyAlignment="1">
      <alignment horizontal="center" vertical="center" wrapText="1"/>
    </xf>
    <xf numFmtId="0" fontId="5" fillId="2" borderId="2" xfId="3" applyFont="1" applyFill="1" applyBorder="1" applyAlignment="1">
      <alignment horizontal="center" vertical="center" wrapText="1"/>
    </xf>
    <xf numFmtId="43" fontId="5" fillId="2" borderId="2" xfId="3" applyNumberFormat="1" applyFont="1" applyFill="1" applyBorder="1" applyAlignment="1">
      <alignment horizontal="center" vertical="center" wrapText="1"/>
    </xf>
    <xf numFmtId="43" fontId="5" fillId="2" borderId="2" xfId="7" applyFont="1" applyFill="1" applyBorder="1" applyAlignment="1">
      <alignment horizontal="center" vertical="center" wrapText="1"/>
    </xf>
    <xf numFmtId="0" fontId="4" fillId="2" borderId="2" xfId="3" applyFont="1" applyFill="1" applyBorder="1" applyAlignment="1">
      <alignment horizontal="center" vertical="center"/>
    </xf>
    <xf numFmtId="0" fontId="4" fillId="2" borderId="0" xfId="0" applyFont="1" applyFill="1"/>
    <xf numFmtId="0" fontId="3" fillId="2" borderId="2" xfId="16" applyFont="1" applyFill="1" applyBorder="1" applyAlignment="1">
      <alignment horizontal="center" vertical="center" wrapText="1"/>
    </xf>
    <xf numFmtId="0" fontId="3" fillId="2" borderId="2" xfId="15" applyFont="1" applyFill="1" applyBorder="1" applyAlignment="1">
      <alignment horizontal="center" vertical="center" wrapText="1"/>
    </xf>
    <xf numFmtId="0" fontId="29" fillId="2" borderId="2" xfId="3"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3" borderId="2" xfId="16" applyFont="1" applyFill="1" applyBorder="1" applyAlignment="1">
      <alignment horizontal="center" vertical="center" wrapText="1"/>
    </xf>
    <xf numFmtId="4" fontId="3" fillId="0" borderId="2" xfId="3"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0" xfId="0" applyFont="1" applyAlignment="1">
      <alignment horizontal="center"/>
    </xf>
    <xf numFmtId="0" fontId="11" fillId="0" borderId="2" xfId="0" applyFont="1" applyBorder="1" applyAlignment="1">
      <alignment horizontal="center" vertical="center"/>
    </xf>
    <xf numFmtId="0" fontId="12" fillId="0" borderId="2" xfId="39" applyFont="1" applyFill="1" applyBorder="1" applyAlignment="1">
      <alignment horizontal="center" vertical="center" wrapText="1"/>
    </xf>
    <xf numFmtId="0" fontId="12" fillId="0" borderId="2" xfId="0" applyFont="1" applyFill="1" applyBorder="1" applyAlignment="1">
      <alignment horizontal="center" vertical="center" wrapText="1"/>
    </xf>
    <xf numFmtId="0" fontId="25" fillId="0" borderId="0" xfId="0" applyFont="1" applyFill="1" applyAlignment="1">
      <alignment horizontal="center" vertical="center" wrapText="1"/>
    </xf>
    <xf numFmtId="0" fontId="0" fillId="0" borderId="0" xfId="0" applyFont="1"/>
    <xf numFmtId="43" fontId="30" fillId="0" borderId="2" xfId="40" applyNumberFormat="1" applyFont="1" applyFill="1" applyBorder="1" applyAlignment="1">
      <alignment horizontal="left" vertical="center" wrapText="1"/>
    </xf>
    <xf numFmtId="43" fontId="23" fillId="2" borderId="2" xfId="0" applyNumberFormat="1" applyFont="1" applyFill="1" applyBorder="1" applyAlignment="1">
      <alignment vertical="center" wrapText="1"/>
    </xf>
    <xf numFmtId="0" fontId="20" fillId="0" borderId="0" xfId="0" applyFont="1" applyFill="1" applyAlignment="1">
      <alignment horizontal="center" wrapText="1"/>
    </xf>
    <xf numFmtId="0" fontId="17" fillId="0" borderId="0" xfId="0" applyFont="1" applyFill="1"/>
    <xf numFmtId="0" fontId="17" fillId="0" borderId="0" xfId="0" applyFont="1" applyFill="1" applyAlignment="1">
      <alignment horizontal="center" vertical="center"/>
    </xf>
    <xf numFmtId="3" fontId="31" fillId="0" borderId="0" xfId="0" applyNumberFormat="1" applyFont="1" applyFill="1" applyBorder="1" applyAlignment="1">
      <alignment horizontal="center" vertical="center" wrapText="1"/>
    </xf>
    <xf numFmtId="0" fontId="31" fillId="0" borderId="0" xfId="0" applyNumberFormat="1"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0" xfId="0" applyFont="1" applyFill="1" applyBorder="1" applyAlignment="1">
      <alignment horizontal="center" vertical="center" wrapText="1"/>
    </xf>
    <xf numFmtId="0" fontId="13" fillId="0" borderId="1" xfId="0" applyFont="1" applyBorder="1" applyAlignment="1"/>
    <xf numFmtId="0" fontId="20" fillId="0" borderId="2" xfId="0" applyFont="1" applyFill="1" applyBorder="1" applyAlignment="1">
      <alignment horizontal="center" vertical="center" wrapText="1"/>
    </xf>
    <xf numFmtId="3" fontId="20" fillId="0" borderId="2" xfId="4" applyNumberFormat="1" applyFont="1" applyFill="1" applyBorder="1" applyAlignment="1">
      <alignment horizontal="center" vertical="center" wrapText="1"/>
    </xf>
    <xf numFmtId="0" fontId="20" fillId="0" borderId="2" xfId="4" applyNumberFormat="1" applyFont="1" applyFill="1" applyBorder="1" applyAlignment="1">
      <alignment horizontal="left" vertical="center" wrapText="1"/>
    </xf>
    <xf numFmtId="168" fontId="20" fillId="0" borderId="2" xfId="0" applyNumberFormat="1" applyFont="1" applyFill="1" applyBorder="1" applyAlignment="1">
      <alignment horizontal="right" vertical="center"/>
    </xf>
    <xf numFmtId="0" fontId="20" fillId="0" borderId="2" xfId="0" applyFont="1" applyFill="1" applyBorder="1" applyAlignment="1">
      <alignment vertical="center"/>
    </xf>
    <xf numFmtId="0" fontId="20" fillId="0" borderId="0" xfId="0" applyFont="1" applyFill="1" applyAlignment="1">
      <alignment horizontal="center" vertical="center"/>
    </xf>
    <xf numFmtId="3" fontId="20" fillId="2" borderId="2" xfId="4" applyNumberFormat="1" applyFont="1" applyFill="1" applyBorder="1" applyAlignment="1">
      <alignment horizontal="center" vertical="center" wrapText="1"/>
    </xf>
    <xf numFmtId="168" fontId="20" fillId="2" borderId="2" xfId="0" applyNumberFormat="1" applyFont="1" applyFill="1" applyBorder="1" applyAlignment="1">
      <alignment horizontal="right" vertical="center"/>
    </xf>
    <xf numFmtId="0" fontId="17" fillId="2" borderId="2" xfId="0" applyFont="1" applyFill="1" applyBorder="1" applyAlignment="1">
      <alignment vertical="center"/>
    </xf>
    <xf numFmtId="0" fontId="17" fillId="2" borderId="0" xfId="0" applyFont="1" applyFill="1" applyAlignment="1">
      <alignment horizontal="center" vertical="center"/>
    </xf>
    <xf numFmtId="3" fontId="17" fillId="2" borderId="2" xfId="10" applyNumberFormat="1" applyFont="1" applyFill="1" applyBorder="1" applyAlignment="1">
      <alignment horizontal="center" vertical="center" wrapText="1"/>
    </xf>
    <xf numFmtId="0" fontId="17" fillId="2" borderId="2" xfId="10" applyNumberFormat="1" applyFont="1" applyFill="1" applyBorder="1" applyAlignment="1">
      <alignment horizontal="center" vertical="center" wrapText="1"/>
    </xf>
    <xf numFmtId="168" fontId="17" fillId="2" borderId="2" xfId="0" applyNumberFormat="1" applyFont="1" applyFill="1" applyBorder="1" applyAlignment="1">
      <alignment horizontal="right" vertical="center"/>
    </xf>
    <xf numFmtId="168" fontId="17" fillId="2" borderId="2" xfId="0" applyNumberFormat="1" applyFont="1" applyFill="1" applyBorder="1" applyAlignment="1">
      <alignment vertical="center" wrapText="1"/>
    </xf>
    <xf numFmtId="168" fontId="17" fillId="2" borderId="2" xfId="10" applyNumberFormat="1" applyFont="1" applyFill="1" applyBorder="1" applyAlignment="1">
      <alignment vertical="center" wrapText="1"/>
    </xf>
    <xf numFmtId="0" fontId="17" fillId="2" borderId="2" xfId="10" applyFont="1" applyFill="1" applyBorder="1" applyAlignment="1">
      <alignment vertical="center" wrapText="1"/>
    </xf>
    <xf numFmtId="168" fontId="17" fillId="2" borderId="2" xfId="28" applyNumberFormat="1" applyFont="1" applyFill="1" applyBorder="1" applyAlignment="1">
      <alignment vertical="center" wrapText="1"/>
    </xf>
    <xf numFmtId="4" fontId="17" fillId="2" borderId="2" xfId="29" applyNumberFormat="1" applyFont="1" applyFill="1" applyBorder="1" applyAlignment="1">
      <alignment horizontal="left" vertical="center" wrapText="1"/>
    </xf>
    <xf numFmtId="168" fontId="17" fillId="2" borderId="2" xfId="29" applyNumberFormat="1" applyFont="1" applyFill="1" applyBorder="1" applyAlignment="1">
      <alignment vertical="center" wrapText="1"/>
    </xf>
    <xf numFmtId="4" fontId="17" fillId="2" borderId="2" xfId="30" applyNumberFormat="1" applyFont="1" applyFill="1" applyBorder="1" applyAlignment="1">
      <alignment horizontal="left" vertical="center" wrapText="1"/>
    </xf>
    <xf numFmtId="168" fontId="17" fillId="2" borderId="2" xfId="30" applyNumberFormat="1" applyFont="1" applyFill="1" applyBorder="1" applyAlignment="1">
      <alignment vertical="center" wrapText="1"/>
    </xf>
    <xf numFmtId="4" fontId="17" fillId="2" borderId="2" xfId="31" applyNumberFormat="1" applyFont="1" applyFill="1" applyBorder="1" applyAlignment="1">
      <alignment horizontal="left" vertical="center" wrapText="1"/>
    </xf>
    <xf numFmtId="4" fontId="17" fillId="2" borderId="2" xfId="32" applyNumberFormat="1" applyFont="1" applyFill="1" applyBorder="1" applyAlignment="1">
      <alignment horizontal="left" vertical="center" wrapText="1"/>
    </xf>
    <xf numFmtId="168" fontId="17" fillId="2" borderId="2" xfId="33" applyNumberFormat="1" applyFont="1" applyFill="1" applyBorder="1" applyAlignment="1">
      <alignment vertical="center" wrapText="1"/>
    </xf>
    <xf numFmtId="168" fontId="17" fillId="2" borderId="2" xfId="32" applyNumberFormat="1" applyFont="1" applyFill="1" applyBorder="1" applyAlignment="1">
      <alignment vertical="center" wrapText="1"/>
    </xf>
    <xf numFmtId="0" fontId="17" fillId="0" borderId="2" xfId="0" applyFont="1" applyFill="1" applyBorder="1" applyAlignment="1">
      <alignment vertical="center"/>
    </xf>
    <xf numFmtId="3" fontId="17" fillId="2" borderId="2" xfId="0" applyNumberFormat="1" applyFont="1" applyFill="1" applyBorder="1" applyAlignment="1">
      <alignment horizontal="center" vertical="center" wrapText="1"/>
    </xf>
    <xf numFmtId="0" fontId="17" fillId="2" borderId="2" xfId="4" applyNumberFormat="1" applyFont="1" applyFill="1" applyBorder="1" applyAlignment="1">
      <alignment horizontal="left" vertical="center" wrapText="1"/>
    </xf>
    <xf numFmtId="3" fontId="17" fillId="2" borderId="2" xfId="26" applyNumberFormat="1" applyFont="1" applyFill="1" applyBorder="1" applyAlignment="1">
      <alignment horizontal="center" vertical="center" wrapText="1"/>
    </xf>
    <xf numFmtId="0" fontId="17" fillId="2" borderId="2" xfId="26" applyNumberFormat="1" applyFont="1" applyFill="1" applyBorder="1" applyAlignment="1">
      <alignment horizontal="left" vertical="center" wrapText="1"/>
    </xf>
    <xf numFmtId="168" fontId="17" fillId="2" borderId="2" xfId="26" applyNumberFormat="1" applyFont="1" applyFill="1" applyBorder="1" applyAlignment="1">
      <alignment vertical="center" wrapText="1"/>
    </xf>
    <xf numFmtId="3" fontId="17" fillId="2" borderId="2" xfId="4" applyNumberFormat="1" applyFont="1" applyFill="1" applyBorder="1" applyAlignment="1">
      <alignment horizontal="center" vertical="center" wrapText="1"/>
    </xf>
    <xf numFmtId="3" fontId="17" fillId="2" borderId="2" xfId="4" quotePrefix="1" applyNumberFormat="1" applyFont="1" applyFill="1" applyBorder="1" applyAlignment="1">
      <alignment horizontal="center" vertical="center" wrapText="1"/>
    </xf>
    <xf numFmtId="0" fontId="17" fillId="2" borderId="2" xfId="0" applyNumberFormat="1" applyFont="1" applyFill="1" applyBorder="1" applyAlignment="1">
      <alignment horizontal="left" vertical="center" wrapText="1"/>
    </xf>
    <xf numFmtId="3" fontId="17"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168" fontId="17" fillId="0" borderId="2" xfId="0" applyNumberFormat="1" applyFont="1" applyFill="1" applyBorder="1" applyAlignment="1">
      <alignment horizontal="right" vertical="center"/>
    </xf>
    <xf numFmtId="168" fontId="17" fillId="0" borderId="2" xfId="0" applyNumberFormat="1" applyFont="1" applyFill="1" applyBorder="1" applyAlignment="1">
      <alignment vertical="center" wrapText="1"/>
    </xf>
    <xf numFmtId="168" fontId="17" fillId="2" borderId="2" xfId="4" applyNumberFormat="1" applyFont="1" applyFill="1" applyBorder="1" applyAlignment="1">
      <alignment vertical="center" wrapText="1"/>
    </xf>
    <xf numFmtId="168" fontId="17" fillId="2" borderId="2" xfId="13" applyNumberFormat="1" applyFont="1" applyFill="1" applyBorder="1" applyAlignment="1">
      <alignment vertical="center" wrapText="1"/>
    </xf>
    <xf numFmtId="3" fontId="20" fillId="0" borderId="2" xfId="0" applyNumberFormat="1" applyFont="1" applyFill="1" applyBorder="1" applyAlignment="1">
      <alignment horizontal="center" vertical="center" wrapText="1"/>
    </xf>
    <xf numFmtId="3" fontId="17" fillId="0" borderId="2" xfId="4" applyNumberFormat="1" applyFont="1" applyFill="1" applyBorder="1" applyAlignment="1">
      <alignment horizontal="center" vertical="center" wrapText="1"/>
    </xf>
    <xf numFmtId="0" fontId="17" fillId="0" borderId="2" xfId="4" applyNumberFormat="1" applyFont="1" applyFill="1" applyBorder="1" applyAlignment="1">
      <alignment horizontal="left" vertical="center" wrapText="1"/>
    </xf>
    <xf numFmtId="168" fontId="17" fillId="0" borderId="2" xfId="34" applyNumberFormat="1" applyFont="1" applyFill="1" applyBorder="1" applyAlignment="1">
      <alignment vertical="center" wrapText="1"/>
    </xf>
    <xf numFmtId="0" fontId="20" fillId="0" borderId="0" xfId="0" applyFont="1" applyFill="1"/>
    <xf numFmtId="0" fontId="17" fillId="2" borderId="0" xfId="0" applyFont="1" applyFill="1"/>
    <xf numFmtId="3" fontId="17" fillId="2" borderId="0" xfId="0" applyNumberFormat="1" applyFont="1" applyFill="1" applyAlignment="1">
      <alignment horizontal="center" vertical="center"/>
    </xf>
    <xf numFmtId="0" fontId="17" fillId="2" borderId="0" xfId="0" applyNumberFormat="1" applyFont="1" applyFill="1" applyAlignment="1">
      <alignment horizontal="left" vertical="center" wrapText="1"/>
    </xf>
    <xf numFmtId="0" fontId="17" fillId="2" borderId="0" xfId="0" applyFont="1" applyFill="1" applyAlignment="1">
      <alignment horizontal="left"/>
    </xf>
    <xf numFmtId="3" fontId="17" fillId="0" borderId="0" xfId="0" applyNumberFormat="1" applyFont="1" applyFill="1" applyAlignment="1">
      <alignment horizontal="center" vertical="center"/>
    </xf>
    <xf numFmtId="0" fontId="17" fillId="0" borderId="0" xfId="0" applyNumberFormat="1" applyFont="1" applyFill="1" applyAlignment="1">
      <alignment horizontal="left" vertical="center" wrapText="1"/>
    </xf>
    <xf numFmtId="0" fontId="17" fillId="0" borderId="0" xfId="0" applyFont="1" applyFill="1" applyAlignment="1">
      <alignment horizontal="left"/>
    </xf>
    <xf numFmtId="0" fontId="2" fillId="0" borderId="2" xfId="3" applyFont="1" applyFill="1" applyBorder="1" applyAlignment="1">
      <alignment horizontal="center" vertical="center" wrapText="1"/>
    </xf>
    <xf numFmtId="0" fontId="4" fillId="0" borderId="0" xfId="3" applyFont="1" applyFill="1" applyBorder="1" applyAlignment="1">
      <alignment horizontal="left" vertical="center" wrapText="1"/>
    </xf>
    <xf numFmtId="0" fontId="4" fillId="0" borderId="0" xfId="3" applyFont="1" applyFill="1" applyBorder="1" applyAlignment="1">
      <alignment horizontal="right" vertical="center" wrapText="1"/>
    </xf>
    <xf numFmtId="0" fontId="2" fillId="0" borderId="2" xfId="0" applyFont="1" applyFill="1" applyBorder="1" applyAlignment="1">
      <alignment vertical="center" wrapText="1"/>
    </xf>
    <xf numFmtId="168" fontId="2" fillId="0" borderId="2" xfId="0" applyNumberFormat="1" applyFont="1" applyFill="1" applyBorder="1" applyAlignment="1">
      <alignment vertical="center" wrapText="1"/>
    </xf>
    <xf numFmtId="0" fontId="5"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168" fontId="5" fillId="0" borderId="2" xfId="3" applyNumberFormat="1" applyFont="1" applyFill="1" applyBorder="1" applyAlignment="1">
      <alignment horizontal="right" vertical="center" wrapText="1"/>
    </xf>
    <xf numFmtId="0" fontId="3" fillId="0" borderId="2" xfId="0" applyFont="1" applyFill="1" applyBorder="1" applyAlignment="1">
      <alignment horizontal="left" vertical="center" wrapText="1"/>
    </xf>
    <xf numFmtId="168" fontId="3" fillId="0" borderId="2" xfId="3" applyNumberFormat="1" applyFont="1" applyFill="1" applyBorder="1" applyAlignment="1">
      <alignment horizontal="right" vertical="center" wrapText="1"/>
    </xf>
    <xf numFmtId="168" fontId="3" fillId="0" borderId="2" xfId="0" applyNumberFormat="1" applyFont="1" applyFill="1" applyBorder="1" applyAlignment="1">
      <alignment vertical="center" wrapText="1"/>
    </xf>
    <xf numFmtId="0" fontId="3" fillId="0" borderId="2" xfId="0" applyFont="1" applyFill="1" applyBorder="1" applyAlignment="1">
      <alignment horizontal="right" vertical="center" wrapText="1"/>
    </xf>
    <xf numFmtId="0" fontId="4" fillId="0" borderId="2" xfId="3" applyFont="1" applyFill="1" applyBorder="1" applyAlignment="1">
      <alignment horizontal="right" vertical="center" wrapText="1"/>
    </xf>
    <xf numFmtId="168" fontId="4" fillId="0" borderId="2" xfId="3" applyNumberFormat="1" applyFont="1" applyFill="1" applyBorder="1" applyAlignment="1">
      <alignment horizontal="right" vertical="center" wrapText="1"/>
    </xf>
    <xf numFmtId="168" fontId="2" fillId="0" borderId="2" xfId="3" applyNumberFormat="1" applyFont="1" applyFill="1" applyBorder="1" applyAlignment="1">
      <alignment horizontal="right" vertical="center" wrapText="1"/>
    </xf>
    <xf numFmtId="0" fontId="2" fillId="0" borderId="2" xfId="3" applyFont="1" applyFill="1" applyBorder="1" applyAlignment="1">
      <alignment horizontal="right"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0" fontId="5" fillId="0" borderId="2" xfId="0" applyFont="1" applyFill="1" applyBorder="1"/>
    <xf numFmtId="168" fontId="5" fillId="0" borderId="2" xfId="0" applyNumberFormat="1" applyFont="1" applyFill="1" applyBorder="1" applyAlignment="1">
      <alignment horizontal="right"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wrapText="1"/>
    </xf>
    <xf numFmtId="168" fontId="3" fillId="0" borderId="2" xfId="0" applyNumberFormat="1" applyFont="1" applyFill="1" applyBorder="1" applyAlignment="1">
      <alignment horizontal="right" vertical="center"/>
    </xf>
    <xf numFmtId="0" fontId="3" fillId="0" borderId="2" xfId="0" applyFont="1" applyFill="1" applyBorder="1" applyAlignment="1">
      <alignment horizontal="right" vertical="center"/>
    </xf>
    <xf numFmtId="0" fontId="3" fillId="0" borderId="2" xfId="0" applyFont="1" applyFill="1" applyBorder="1" applyAlignment="1">
      <alignment horizontal="center"/>
    </xf>
    <xf numFmtId="168" fontId="5" fillId="0" borderId="2" xfId="3" applyNumberFormat="1" applyFont="1" applyFill="1" applyBorder="1" applyAlignment="1">
      <alignment horizontal="right" vertical="center"/>
    </xf>
    <xf numFmtId="0" fontId="5" fillId="0" borderId="2" xfId="0" applyFont="1" applyFill="1" applyBorder="1" applyAlignment="1">
      <alignment horizontal="right" vertical="center"/>
    </xf>
    <xf numFmtId="1" fontId="2" fillId="0" borderId="2" xfId="0" applyNumberFormat="1" applyFont="1" applyFill="1" applyBorder="1" applyAlignment="1">
      <alignment horizontal="center" vertical="center" wrapText="1"/>
    </xf>
    <xf numFmtId="1" fontId="2" fillId="0" borderId="2" xfId="0" applyNumberFormat="1" applyFont="1" applyFill="1" applyBorder="1" applyAlignment="1">
      <alignment horizontal="left" vertical="center" wrapText="1"/>
    </xf>
    <xf numFmtId="1" fontId="3" fillId="0" borderId="2" xfId="0" applyNumberFormat="1" applyFont="1" applyFill="1" applyBorder="1" applyAlignment="1">
      <alignment horizontal="center" vertical="center" wrapText="1"/>
    </xf>
    <xf numFmtId="3" fontId="3" fillId="0" borderId="2" xfId="0" applyNumberFormat="1" applyFont="1" applyFill="1" applyBorder="1" applyAlignment="1">
      <alignment horizontal="right" vertical="center"/>
    </xf>
    <xf numFmtId="1"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horizontal="center"/>
    </xf>
    <xf numFmtId="0" fontId="3" fillId="0" borderId="2" xfId="0" applyFont="1" applyFill="1" applyBorder="1" applyAlignment="1">
      <alignment vertical="center"/>
    </xf>
    <xf numFmtId="0" fontId="2" fillId="0" borderId="2" xfId="0" applyFont="1" applyFill="1" applyBorder="1"/>
    <xf numFmtId="0" fontId="3" fillId="0" borderId="2"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2" xfId="0" applyFont="1" applyFill="1" applyBorder="1" applyAlignment="1">
      <alignment horizontal="center"/>
    </xf>
    <xf numFmtId="0" fontId="4" fillId="0" borderId="2" xfId="0" applyFont="1" applyFill="1" applyBorder="1"/>
    <xf numFmtId="0" fontId="3" fillId="0" borderId="2" xfId="0" applyFont="1" applyFill="1" applyBorder="1"/>
    <xf numFmtId="0" fontId="3" fillId="0" borderId="2" xfId="0" applyFont="1" applyFill="1" applyBorder="1" applyAlignment="1">
      <alignment horizontal="left" wrapText="1"/>
    </xf>
    <xf numFmtId="4" fontId="3" fillId="2" borderId="2" xfId="3" applyNumberFormat="1" applyFont="1" applyFill="1" applyBorder="1" applyAlignment="1">
      <alignment horizontal="center" vertical="center" wrapText="1"/>
    </xf>
    <xf numFmtId="173" fontId="3" fillId="0" borderId="2" xfId="3" applyNumberFormat="1" applyFont="1" applyFill="1" applyBorder="1" applyAlignment="1">
      <alignment horizontal="center" vertical="center" wrapText="1"/>
    </xf>
    <xf numFmtId="0" fontId="20" fillId="2" borderId="2" xfId="4" applyNumberFormat="1" applyFont="1" applyFill="1" applyBorder="1" applyAlignment="1">
      <alignment horizontal="left" vertical="center" wrapText="1"/>
    </xf>
    <xf numFmtId="168" fontId="17" fillId="2" borderId="2" xfId="2" applyNumberFormat="1" applyFont="1" applyFill="1" applyBorder="1" applyAlignment="1">
      <alignment vertical="center" wrapText="1"/>
    </xf>
    <xf numFmtId="174" fontId="2" fillId="0" borderId="2" xfId="3" applyNumberFormat="1" applyFont="1" applyFill="1" applyBorder="1" applyAlignment="1">
      <alignment horizontal="center" vertical="center" wrapText="1"/>
    </xf>
    <xf numFmtId="174" fontId="4" fillId="0" borderId="0" xfId="3" applyNumberFormat="1" applyFont="1" applyFill="1" applyBorder="1" applyAlignment="1">
      <alignment horizontal="right" vertical="center" wrapText="1"/>
    </xf>
    <xf numFmtId="174" fontId="2" fillId="0" borderId="6" xfId="3" applyNumberFormat="1" applyFont="1" applyFill="1" applyBorder="1" applyAlignment="1">
      <alignment horizontal="center" vertical="center" wrapText="1"/>
    </xf>
    <xf numFmtId="174" fontId="2" fillId="0" borderId="2" xfId="0" applyNumberFormat="1" applyFont="1" applyFill="1" applyBorder="1" applyAlignment="1">
      <alignment vertical="center" wrapText="1"/>
    </xf>
    <xf numFmtId="174" fontId="5" fillId="0" borderId="2" xfId="3" applyNumberFormat="1" applyFont="1" applyFill="1" applyBorder="1" applyAlignment="1">
      <alignment horizontal="right" vertical="center" wrapText="1"/>
    </xf>
    <xf numFmtId="174" fontId="3" fillId="0" borderId="2" xfId="0" applyNumberFormat="1" applyFont="1" applyFill="1" applyBorder="1" applyAlignment="1">
      <alignment vertical="center" wrapText="1"/>
    </xf>
    <xf numFmtId="174" fontId="3" fillId="0" borderId="2" xfId="3" applyNumberFormat="1" applyFont="1" applyFill="1" applyBorder="1" applyAlignment="1">
      <alignment horizontal="right" vertical="center" wrapText="1"/>
    </xf>
    <xf numFmtId="174" fontId="2" fillId="0" borderId="2" xfId="3" applyNumberFormat="1" applyFont="1" applyFill="1" applyBorder="1" applyAlignment="1">
      <alignment horizontal="right" vertical="center" wrapText="1"/>
    </xf>
    <xf numFmtId="174" fontId="3" fillId="0" borderId="2" xfId="3" applyNumberFormat="1" applyFont="1" applyFill="1" applyBorder="1" applyAlignment="1">
      <alignment horizontal="center" vertical="center" wrapText="1"/>
    </xf>
    <xf numFmtId="174" fontId="2" fillId="0" borderId="2" xfId="0" applyNumberFormat="1" applyFont="1" applyFill="1" applyBorder="1" applyAlignment="1">
      <alignment horizontal="center" vertical="center" wrapText="1"/>
    </xf>
    <xf numFmtId="174" fontId="5" fillId="0" borderId="2" xfId="0" applyNumberFormat="1" applyFont="1" applyFill="1" applyBorder="1" applyAlignment="1">
      <alignment horizontal="center" vertical="center" wrapText="1"/>
    </xf>
    <xf numFmtId="174" fontId="3" fillId="2" borderId="2" xfId="3" applyNumberFormat="1" applyFont="1" applyFill="1" applyBorder="1" applyAlignment="1">
      <alignment horizontal="center" vertical="center" wrapText="1"/>
    </xf>
    <xf numFmtId="174" fontId="28" fillId="3" borderId="2" xfId="3" applyNumberFormat="1" applyFont="1" applyFill="1" applyBorder="1" applyAlignment="1">
      <alignment horizontal="center" vertical="center" wrapText="1"/>
    </xf>
    <xf numFmtId="174" fontId="28" fillId="3" borderId="2" xfId="0" applyNumberFormat="1" applyFont="1" applyFill="1" applyBorder="1" applyAlignment="1">
      <alignment horizontal="center" vertical="center" wrapText="1"/>
    </xf>
    <xf numFmtId="174" fontId="3" fillId="0" borderId="2" xfId="0" applyNumberFormat="1" applyFont="1" applyFill="1" applyBorder="1" applyAlignment="1">
      <alignment horizontal="right" vertical="center"/>
    </xf>
    <xf numFmtId="174" fontId="3" fillId="0" borderId="0" xfId="0" applyNumberFormat="1" applyFont="1" applyFill="1" applyAlignment="1">
      <alignment horizontal="right"/>
    </xf>
    <xf numFmtId="0" fontId="2" fillId="0" borderId="2" xfId="3" applyFont="1" applyFill="1" applyBorder="1" applyAlignment="1">
      <alignment horizontal="center" vertical="center" wrapText="1"/>
    </xf>
    <xf numFmtId="0" fontId="2" fillId="0" borderId="2" xfId="3" applyFont="1" applyFill="1" applyBorder="1" applyAlignment="1">
      <alignment horizontal="center" vertical="center" wrapText="1"/>
    </xf>
    <xf numFmtId="168" fontId="17" fillId="3" borderId="2" xfId="33" applyNumberFormat="1" applyFont="1" applyFill="1" applyBorder="1" applyAlignment="1">
      <alignment vertical="center" wrapText="1"/>
    </xf>
    <xf numFmtId="168" fontId="31" fillId="0" borderId="0" xfId="0" applyNumberFormat="1" applyFont="1" applyFill="1" applyBorder="1" applyAlignment="1">
      <alignment horizontal="left" vertical="center" wrapText="1"/>
    </xf>
    <xf numFmtId="168" fontId="23" fillId="0" borderId="2" xfId="0" applyNumberFormat="1" applyFont="1" applyFill="1" applyBorder="1" applyAlignment="1">
      <alignment horizontal="right" vertical="center"/>
    </xf>
    <xf numFmtId="4" fontId="20" fillId="0" borderId="2" xfId="0" applyNumberFormat="1" applyFont="1" applyFill="1" applyBorder="1" applyAlignment="1">
      <alignment horizontal="right" vertical="center"/>
    </xf>
    <xf numFmtId="4" fontId="23" fillId="0" borderId="2" xfId="0" applyNumberFormat="1" applyFont="1" applyFill="1" applyBorder="1" applyAlignment="1">
      <alignment horizontal="right" vertical="center"/>
    </xf>
    <xf numFmtId="4" fontId="20" fillId="2" borderId="2" xfId="0" applyNumberFormat="1" applyFont="1" applyFill="1" applyBorder="1" applyAlignment="1">
      <alignment horizontal="right" vertical="center"/>
    </xf>
    <xf numFmtId="4" fontId="17" fillId="2" borderId="2" xfId="0" applyNumberFormat="1" applyFont="1" applyFill="1" applyBorder="1" applyAlignment="1">
      <alignment vertical="center"/>
    </xf>
    <xf numFmtId="4" fontId="17" fillId="2" borderId="2" xfId="10" applyNumberFormat="1" applyFont="1" applyFill="1" applyBorder="1" applyAlignment="1">
      <alignment vertical="center" wrapText="1"/>
    </xf>
    <xf numFmtId="4" fontId="17" fillId="2" borderId="2" xfId="0" applyNumberFormat="1" applyFont="1" applyFill="1" applyBorder="1" applyAlignment="1">
      <alignment vertical="center" wrapText="1"/>
    </xf>
    <xf numFmtId="4" fontId="17" fillId="2" borderId="2" xfId="26" applyNumberFormat="1" applyFont="1" applyFill="1" applyBorder="1" applyAlignment="1">
      <alignment vertical="center" wrapText="1"/>
    </xf>
    <xf numFmtId="4" fontId="17" fillId="0" borderId="2" xfId="0" applyNumberFormat="1" applyFont="1" applyFill="1" applyBorder="1" applyAlignment="1">
      <alignment vertical="center" wrapText="1"/>
    </xf>
    <xf numFmtId="4" fontId="17" fillId="2" borderId="2" xfId="13" applyNumberFormat="1" applyFont="1" applyFill="1" applyBorder="1" applyAlignment="1">
      <alignment vertical="center" wrapText="1"/>
    </xf>
    <xf numFmtId="4" fontId="17" fillId="2" borderId="2" xfId="4" applyNumberFormat="1" applyFont="1" applyFill="1" applyBorder="1" applyAlignment="1">
      <alignment vertical="center" wrapText="1"/>
    </xf>
    <xf numFmtId="4" fontId="17" fillId="0" borderId="2" xfId="34" applyNumberFormat="1" applyFont="1" applyFill="1" applyBorder="1" applyAlignment="1">
      <alignment vertical="center" wrapText="1"/>
    </xf>
    <xf numFmtId="4" fontId="17" fillId="2" borderId="2" xfId="34" applyNumberFormat="1" applyFont="1" applyFill="1" applyBorder="1" applyAlignment="1">
      <alignment vertical="center" wrapText="1"/>
    </xf>
    <xf numFmtId="4" fontId="23" fillId="2" borderId="2" xfId="0" applyNumberFormat="1" applyFont="1" applyFill="1" applyBorder="1" applyAlignment="1">
      <alignment horizontal="right" vertical="center"/>
    </xf>
    <xf numFmtId="4" fontId="17" fillId="2" borderId="2" xfId="0" applyNumberFormat="1" applyFont="1" applyFill="1" applyBorder="1" applyAlignment="1">
      <alignment horizontal="right" vertical="center"/>
    </xf>
    <xf numFmtId="4" fontId="17" fillId="0" borderId="2" xfId="0" applyNumberFormat="1" applyFont="1" applyFill="1" applyBorder="1" applyAlignment="1">
      <alignment horizontal="right" vertical="center"/>
    </xf>
    <xf numFmtId="168" fontId="31" fillId="0" borderId="0" xfId="0" applyNumberFormat="1" applyFont="1" applyFill="1" applyBorder="1" applyAlignment="1">
      <alignment horizontal="center" vertical="center" wrapText="1"/>
    </xf>
    <xf numFmtId="4" fontId="17" fillId="3" borderId="2" xfId="0" applyNumberFormat="1" applyFont="1" applyFill="1" applyBorder="1" applyAlignment="1">
      <alignment vertical="center" wrapText="1"/>
    </xf>
    <xf numFmtId="168" fontId="17" fillId="3" borderId="2" xfId="10" applyNumberFormat="1" applyFont="1" applyFill="1" applyBorder="1" applyAlignment="1">
      <alignment vertical="center" wrapText="1"/>
    </xf>
    <xf numFmtId="169" fontId="2" fillId="0" borderId="2" xfId="1" applyNumberFormat="1" applyFont="1" applyFill="1" applyBorder="1" applyAlignment="1">
      <alignment horizontal="center" vertical="center" wrapText="1"/>
    </xf>
    <xf numFmtId="169" fontId="3" fillId="0" borderId="2" xfId="1" applyNumberFormat="1" applyFont="1" applyFill="1" applyBorder="1" applyAlignment="1">
      <alignment horizontal="center" vertical="center"/>
    </xf>
    <xf numFmtId="169" fontId="4" fillId="0" borderId="2" xfId="1" applyNumberFormat="1" applyFont="1" applyFill="1" applyBorder="1" applyAlignment="1">
      <alignment horizontal="center" vertical="center"/>
    </xf>
    <xf numFmtId="43" fontId="2" fillId="0" borderId="2" xfId="1" applyFont="1" applyFill="1" applyBorder="1" applyAlignment="1">
      <alignment horizontal="right" vertical="center" wrapText="1"/>
    </xf>
    <xf numFmtId="43" fontId="5" fillId="0" borderId="2" xfId="1" applyFont="1" applyFill="1" applyBorder="1" applyAlignment="1">
      <alignment horizontal="center"/>
    </xf>
    <xf numFmtId="0" fontId="3" fillId="2" borderId="2" xfId="3" applyFont="1" applyFill="1" applyBorder="1" applyAlignment="1">
      <alignment horizontal="left" vertical="center" wrapText="1"/>
    </xf>
    <xf numFmtId="0" fontId="5" fillId="0" borderId="2" xfId="3" applyFont="1" applyFill="1" applyBorder="1" applyAlignment="1">
      <alignment horizontal="left" vertical="center" wrapText="1"/>
    </xf>
    <xf numFmtId="0" fontId="28" fillId="3" borderId="2" xfId="3" applyFont="1" applyFill="1" applyBorder="1" applyAlignment="1">
      <alignment horizontal="left" vertical="center" wrapText="1"/>
    </xf>
    <xf numFmtId="0" fontId="3" fillId="0" borderId="2" xfId="3"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2" borderId="2" xfId="12" applyNumberFormat="1" applyFont="1" applyFill="1" applyBorder="1" applyAlignment="1" applyProtection="1">
      <alignment horizontal="left" vertical="center" wrapText="1"/>
      <protection locked="0"/>
    </xf>
    <xf numFmtId="0" fontId="3" fillId="2" borderId="2" xfId="13" applyFont="1" applyFill="1" applyBorder="1" applyAlignment="1">
      <alignment horizontal="left" vertical="center" wrapText="1"/>
    </xf>
    <xf numFmtId="0" fontId="5" fillId="0" borderId="2" xfId="12" applyNumberFormat="1" applyFont="1" applyFill="1" applyBorder="1" applyAlignment="1" applyProtection="1">
      <alignment horizontal="left" vertical="center" wrapText="1"/>
      <protection locked="0"/>
    </xf>
    <xf numFmtId="0" fontId="5" fillId="2" borderId="2" xfId="3" applyFont="1" applyFill="1" applyBorder="1" applyAlignment="1">
      <alignment horizontal="left" vertical="center" wrapText="1"/>
    </xf>
    <xf numFmtId="3" fontId="28" fillId="3" borderId="2" xfId="4" applyNumberFormat="1" applyFont="1" applyFill="1" applyBorder="1" applyAlignment="1">
      <alignment horizontal="left" vertical="center" wrapText="1"/>
    </xf>
    <xf numFmtId="0" fontId="5" fillId="0" borderId="2" xfId="15" applyFont="1" applyFill="1" applyBorder="1" applyAlignment="1">
      <alignment horizontal="left" vertical="center" wrapText="1"/>
    </xf>
    <xf numFmtId="0" fontId="3" fillId="0" borderId="2" xfId="15" applyFont="1" applyFill="1" applyBorder="1" applyAlignment="1">
      <alignment horizontal="left" vertical="center" wrapText="1"/>
    </xf>
    <xf numFmtId="0" fontId="3" fillId="2" borderId="2" xfId="16" applyFont="1" applyFill="1" applyBorder="1" applyAlignment="1">
      <alignment horizontal="left" vertical="center" wrapText="1"/>
    </xf>
    <xf numFmtId="0" fontId="28" fillId="3" borderId="2" xfId="16" applyFont="1" applyFill="1" applyBorder="1" applyAlignment="1">
      <alignment horizontal="left" vertical="center" wrapText="1"/>
    </xf>
    <xf numFmtId="0" fontId="5" fillId="0" borderId="2" xfId="16" applyFont="1" applyFill="1" applyBorder="1" applyAlignment="1">
      <alignment horizontal="left" vertical="center" wrapText="1"/>
    </xf>
    <xf numFmtId="0" fontId="3" fillId="0" borderId="2" xfId="16" applyFont="1" applyFill="1" applyBorder="1" applyAlignment="1">
      <alignment horizontal="left" vertical="center" wrapText="1"/>
    </xf>
    <xf numFmtId="167" fontId="3" fillId="0" borderId="2" xfId="3" applyNumberFormat="1" applyFont="1" applyFill="1" applyBorder="1" applyAlignment="1">
      <alignment horizontal="left" vertical="center" wrapText="1"/>
    </xf>
    <xf numFmtId="0" fontId="5" fillId="0" borderId="2" xfId="3" applyNumberFormat="1" applyFont="1" applyFill="1" applyBorder="1" applyAlignment="1">
      <alignment horizontal="left" vertical="center" wrapText="1"/>
    </xf>
    <xf numFmtId="0" fontId="3" fillId="0" borderId="2" xfId="3" applyNumberFormat="1" applyFont="1" applyFill="1" applyBorder="1" applyAlignment="1">
      <alignment horizontal="left" vertical="center" wrapText="1"/>
    </xf>
    <xf numFmtId="169" fontId="33" fillId="0" borderId="2" xfId="1" applyNumberFormat="1" applyFont="1" applyFill="1" applyBorder="1" applyAlignment="1">
      <alignment horizontal="center" vertical="center" wrapText="1"/>
    </xf>
    <xf numFmtId="168" fontId="33" fillId="0" borderId="2" xfId="3" applyNumberFormat="1" applyFont="1" applyFill="1" applyBorder="1" applyAlignment="1">
      <alignment horizontal="center" vertical="center" wrapText="1"/>
    </xf>
    <xf numFmtId="174" fontId="33" fillId="0" borderId="2" xfId="3" applyNumberFormat="1" applyFont="1" applyFill="1" applyBorder="1" applyAlignment="1">
      <alignment horizontal="center" vertical="center" wrapText="1"/>
    </xf>
    <xf numFmtId="0" fontId="34" fillId="0" borderId="2" xfId="3" applyFont="1" applyFill="1" applyBorder="1" applyAlignment="1">
      <alignment horizontal="center" vertical="center"/>
    </xf>
    <xf numFmtId="0" fontId="33" fillId="0" borderId="2" xfId="3" applyFont="1" applyFill="1" applyBorder="1" applyAlignment="1">
      <alignment horizontal="center" vertical="center"/>
    </xf>
    <xf numFmtId="3" fontId="3" fillId="0" borderId="2" xfId="4" applyNumberFormat="1" applyFont="1" applyFill="1" applyBorder="1" applyAlignment="1">
      <alignment horizontal="left" vertical="center" wrapText="1"/>
    </xf>
    <xf numFmtId="168" fontId="33" fillId="3" borderId="2" xfId="3" applyNumberFormat="1" applyFont="1" applyFill="1" applyBorder="1" applyAlignment="1">
      <alignment horizontal="center" vertical="center" wrapText="1"/>
    </xf>
    <xf numFmtId="0" fontId="34" fillId="3" borderId="2" xfId="3" applyFont="1" applyFill="1" applyBorder="1" applyAlignment="1">
      <alignment horizontal="center" vertical="center"/>
    </xf>
    <xf numFmtId="0" fontId="4" fillId="3" borderId="2" xfId="3" applyFont="1" applyFill="1" applyBorder="1" applyAlignment="1">
      <alignment horizontal="center" vertical="center"/>
    </xf>
    <xf numFmtId="3" fontId="0" fillId="0" borderId="0" xfId="0" applyNumberFormat="1"/>
    <xf numFmtId="174" fontId="3" fillId="2" borderId="2" xfId="3" applyNumberFormat="1" applyFont="1" applyFill="1" applyBorder="1" applyAlignment="1">
      <alignment horizontal="center" vertical="center"/>
    </xf>
    <xf numFmtId="174" fontId="3" fillId="0" borderId="2" xfId="3" applyNumberFormat="1" applyFont="1" applyFill="1" applyBorder="1" applyAlignment="1">
      <alignment horizontal="center" vertical="center"/>
    </xf>
    <xf numFmtId="168" fontId="33" fillId="2" borderId="2" xfId="3" applyNumberFormat="1" applyFont="1" applyFill="1" applyBorder="1" applyAlignment="1">
      <alignment horizontal="center" vertical="center" wrapText="1"/>
    </xf>
    <xf numFmtId="0" fontId="33" fillId="0" borderId="2" xfId="3" applyFont="1" applyFill="1" applyBorder="1" applyAlignment="1">
      <alignment horizontal="center" vertical="center" wrapText="1"/>
    </xf>
    <xf numFmtId="168" fontId="32" fillId="3" borderId="2" xfId="3" applyNumberFormat="1" applyFont="1" applyFill="1" applyBorder="1" applyAlignment="1">
      <alignment horizontal="center" vertical="center" wrapText="1"/>
    </xf>
    <xf numFmtId="0" fontId="28" fillId="3" borderId="2" xfId="15" applyFont="1" applyFill="1" applyBorder="1" applyAlignment="1">
      <alignment horizontal="center" vertical="center" wrapText="1"/>
    </xf>
    <xf numFmtId="0" fontId="3" fillId="0" borderId="2" xfId="12" applyNumberFormat="1" applyFont="1" applyFill="1" applyBorder="1" applyAlignment="1" applyProtection="1">
      <alignment horizontal="left" vertical="center" wrapText="1"/>
      <protection locked="0"/>
    </xf>
    <xf numFmtId="170" fontId="3" fillId="0" borderId="2" xfId="1" applyNumberFormat="1" applyFont="1" applyFill="1" applyBorder="1" applyAlignment="1">
      <alignment horizontal="center" vertical="center" wrapText="1"/>
    </xf>
    <xf numFmtId="170" fontId="3" fillId="0" borderId="2" xfId="1" applyNumberFormat="1" applyFont="1" applyFill="1" applyBorder="1" applyAlignment="1">
      <alignment horizontal="center" vertical="center"/>
    </xf>
    <xf numFmtId="0" fontId="28" fillId="0" borderId="2" xfId="16" applyFont="1" applyFill="1" applyBorder="1" applyAlignment="1">
      <alignment horizontal="left" vertical="center" wrapText="1"/>
    </xf>
    <xf numFmtId="174" fontId="33" fillId="2" borderId="2" xfId="3" applyNumberFormat="1" applyFont="1" applyFill="1" applyBorder="1" applyAlignment="1">
      <alignment horizontal="center" vertical="center" wrapText="1"/>
    </xf>
    <xf numFmtId="170" fontId="3" fillId="0" borderId="0" xfId="1" applyNumberFormat="1" applyFont="1" applyFill="1"/>
    <xf numFmtId="170" fontId="2" fillId="0" borderId="0" xfId="1" applyNumberFormat="1" applyFont="1" applyFill="1"/>
    <xf numFmtId="170" fontId="2" fillId="0" borderId="0" xfId="1" applyNumberFormat="1" applyFont="1" applyFill="1" applyBorder="1" applyAlignment="1">
      <alignment horizontal="left" vertical="top"/>
    </xf>
    <xf numFmtId="170" fontId="4" fillId="0" borderId="0" xfId="1" applyNumberFormat="1" applyFont="1" applyFill="1"/>
    <xf numFmtId="170" fontId="3" fillId="2" borderId="0" xfId="1" applyNumberFormat="1" applyFont="1" applyFill="1"/>
    <xf numFmtId="170" fontId="28" fillId="2" borderId="0" xfId="1" applyNumberFormat="1" applyFont="1" applyFill="1"/>
    <xf numFmtId="170" fontId="5" fillId="0" borderId="0" xfId="1" applyNumberFormat="1" applyFont="1" applyFill="1"/>
    <xf numFmtId="170" fontId="4" fillId="2" borderId="0" xfId="1" applyNumberFormat="1" applyFont="1" applyFill="1"/>
    <xf numFmtId="0" fontId="28" fillId="0" borderId="2" xfId="3" applyFont="1" applyFill="1" applyBorder="1" applyAlignment="1">
      <alignment horizontal="center" vertical="center"/>
    </xf>
    <xf numFmtId="0" fontId="0" fillId="0" borderId="0" xfId="0" applyAlignment="1">
      <alignment wrapText="1"/>
    </xf>
    <xf numFmtId="0" fontId="28" fillId="0" borderId="2" xfId="3" applyFont="1" applyFill="1" applyBorder="1" applyAlignment="1">
      <alignment horizontal="center" vertical="center" wrapText="1"/>
    </xf>
    <xf numFmtId="0" fontId="28" fillId="0" borderId="2" xfId="3" applyFont="1" applyFill="1" applyBorder="1" applyAlignment="1">
      <alignment horizontal="left" vertical="center" wrapText="1"/>
    </xf>
    <xf numFmtId="0" fontId="28" fillId="0" borderId="2" xfId="15" applyFont="1" applyFill="1" applyBorder="1" applyAlignment="1">
      <alignment horizontal="center" vertical="center" wrapText="1"/>
    </xf>
    <xf numFmtId="43" fontId="32" fillId="0" borderId="2" xfId="1" applyNumberFormat="1" applyFont="1" applyFill="1" applyBorder="1" applyAlignment="1">
      <alignment horizontal="center" vertical="center" wrapText="1"/>
    </xf>
    <xf numFmtId="175" fontId="33" fillId="0" borderId="2" xfId="1" applyNumberFormat="1" applyFont="1" applyFill="1" applyBorder="1" applyAlignment="1">
      <alignment horizontal="center" vertical="center" wrapText="1"/>
    </xf>
    <xf numFmtId="43" fontId="33" fillId="0" borderId="2" xfId="1" applyNumberFormat="1" applyFont="1" applyFill="1" applyBorder="1" applyAlignment="1">
      <alignment horizontal="center" vertical="center" wrapText="1"/>
    </xf>
    <xf numFmtId="43" fontId="3" fillId="0" borderId="2" xfId="7" applyFont="1" applyFill="1" applyBorder="1" applyAlignment="1">
      <alignment horizontal="center" vertical="center" wrapText="1"/>
    </xf>
    <xf numFmtId="0" fontId="3" fillId="0" borderId="2" xfId="13" applyFont="1" applyFill="1" applyBorder="1" applyAlignment="1">
      <alignment horizontal="left" vertical="center" wrapText="1"/>
    </xf>
    <xf numFmtId="0" fontId="3" fillId="0" borderId="2" xfId="14" applyFont="1" applyFill="1" applyBorder="1" applyAlignment="1">
      <alignment horizontal="center" vertical="center" wrapText="1"/>
    </xf>
    <xf numFmtId="0" fontId="28" fillId="0" borderId="2" xfId="5" applyFont="1" applyFill="1" applyBorder="1" applyAlignment="1">
      <alignment horizontal="center" vertical="center" wrapText="1"/>
    </xf>
    <xf numFmtId="3" fontId="28" fillId="0" borderId="2" xfId="4" applyNumberFormat="1" applyFont="1" applyFill="1" applyBorder="1" applyAlignment="1">
      <alignment horizontal="left" vertical="center" wrapText="1"/>
    </xf>
    <xf numFmtId="0" fontId="28" fillId="0" borderId="2" xfId="0" applyFont="1" applyFill="1" applyBorder="1" applyAlignment="1">
      <alignment horizontal="center" vertical="center" wrapText="1"/>
    </xf>
    <xf numFmtId="43" fontId="0" fillId="0" borderId="0" xfId="0" applyNumberFormat="1"/>
    <xf numFmtId="170" fontId="2" fillId="0" borderId="2" xfId="1" applyNumberFormat="1" applyFont="1" applyFill="1" applyBorder="1" applyAlignment="1">
      <alignment horizontal="center" vertical="center" wrapText="1"/>
    </xf>
    <xf numFmtId="0" fontId="28" fillId="0" borderId="2" xfId="16" applyFont="1" applyFill="1" applyBorder="1" applyAlignment="1">
      <alignment horizontal="center" vertical="center" wrapText="1"/>
    </xf>
    <xf numFmtId="4" fontId="28" fillId="3" borderId="2" xfId="3" applyNumberFormat="1" applyFont="1" applyFill="1" applyBorder="1" applyAlignment="1">
      <alignment horizontal="center" vertical="center" wrapText="1"/>
    </xf>
    <xf numFmtId="167" fontId="0" fillId="0" borderId="0" xfId="0" applyNumberFormat="1"/>
    <xf numFmtId="4" fontId="3" fillId="0" borderId="2" xfId="3" applyNumberFormat="1" applyFont="1" applyFill="1" applyBorder="1" applyAlignment="1">
      <alignment vertical="center" wrapText="1"/>
    </xf>
    <xf numFmtId="4" fontId="3" fillId="0" borderId="2" xfId="3" applyNumberFormat="1" applyFont="1" applyFill="1" applyBorder="1" applyAlignment="1">
      <alignment vertical="center"/>
    </xf>
    <xf numFmtId="4" fontId="33" fillId="0" borderId="2" xfId="3" applyNumberFormat="1" applyFont="1" applyFill="1" applyBorder="1" applyAlignment="1">
      <alignment vertical="center" wrapText="1"/>
    </xf>
    <xf numFmtId="4" fontId="5" fillId="0" borderId="2" xfId="3" applyNumberFormat="1" applyFont="1" applyFill="1" applyBorder="1" applyAlignment="1">
      <alignment vertical="center" wrapText="1"/>
    </xf>
    <xf numFmtId="4" fontId="28" fillId="0" borderId="2" xfId="0" applyNumberFormat="1" applyFont="1" applyFill="1" applyBorder="1" applyAlignment="1">
      <alignment vertical="center" wrapText="1"/>
    </xf>
    <xf numFmtId="4" fontId="28" fillId="0" borderId="2" xfId="3" applyNumberFormat="1" applyFont="1" applyFill="1" applyBorder="1" applyAlignment="1">
      <alignment vertical="center" wrapText="1"/>
    </xf>
    <xf numFmtId="4" fontId="28" fillId="0" borderId="2" xfId="3" applyNumberFormat="1" applyFont="1" applyFill="1" applyBorder="1" applyAlignment="1">
      <alignment vertical="center"/>
    </xf>
    <xf numFmtId="4" fontId="0" fillId="0" borderId="0" xfId="0" applyNumberFormat="1"/>
    <xf numFmtId="2" fontId="28" fillId="0" borderId="2" xfId="3" applyNumberFormat="1" applyFont="1" applyFill="1" applyBorder="1" applyAlignment="1">
      <alignment horizontal="center" vertical="center" wrapText="1"/>
    </xf>
    <xf numFmtId="0" fontId="2" fillId="0" borderId="2" xfId="3" applyFont="1" applyFill="1" applyBorder="1" applyAlignment="1">
      <alignment horizontal="center" vertical="center" wrapText="1"/>
    </xf>
    <xf numFmtId="0" fontId="2" fillId="0" borderId="6" xfId="3" applyFont="1" applyFill="1" applyBorder="1" applyAlignment="1">
      <alignment horizontal="center" vertical="center" wrapText="1"/>
    </xf>
    <xf numFmtId="169" fontId="0" fillId="0" borderId="0" xfId="0" applyNumberFormat="1"/>
    <xf numFmtId="0" fontId="2" fillId="0" borderId="2" xfId="3"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3" applyFont="1" applyFill="1" applyBorder="1" applyAlignment="1">
      <alignment vertical="center"/>
    </xf>
    <xf numFmtId="170" fontId="32" fillId="0" borderId="2" xfId="1" applyNumberFormat="1" applyFont="1" applyFill="1" applyBorder="1" applyAlignment="1">
      <alignment horizontal="center" vertical="center" wrapText="1"/>
    </xf>
    <xf numFmtId="170" fontId="28" fillId="0" borderId="2" xfId="1" applyNumberFormat="1" applyFont="1" applyFill="1" applyBorder="1" applyAlignment="1">
      <alignment horizontal="center" vertical="center"/>
    </xf>
    <xf numFmtId="170" fontId="33" fillId="0" borderId="2" xfId="1" applyNumberFormat="1" applyFont="1" applyFill="1" applyBorder="1" applyAlignment="1">
      <alignment horizontal="center" vertical="center" wrapText="1"/>
    </xf>
    <xf numFmtId="170" fontId="34" fillId="0" borderId="2" xfId="1" applyNumberFormat="1" applyFont="1" applyFill="1" applyBorder="1" applyAlignment="1">
      <alignment horizontal="center" vertical="center"/>
    </xf>
    <xf numFmtId="170" fontId="4" fillId="0" borderId="2" xfId="1" applyNumberFormat="1" applyFont="1" applyFill="1" applyBorder="1" applyAlignment="1">
      <alignment horizontal="center" vertical="center"/>
    </xf>
    <xf numFmtId="43" fontId="2" fillId="0" borderId="2" xfId="1" applyNumberFormat="1" applyFont="1" applyFill="1" applyBorder="1" applyAlignment="1">
      <alignment horizontal="center" vertical="center" wrapText="1"/>
    </xf>
    <xf numFmtId="168" fontId="0" fillId="0" borderId="0" xfId="0" applyNumberFormat="1"/>
    <xf numFmtId="0" fontId="5"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3" applyFont="1" applyFill="1" applyBorder="1" applyAlignment="1">
      <alignment horizontal="left" vertical="center" wrapText="1"/>
    </xf>
    <xf numFmtId="43" fontId="4" fillId="0" borderId="2" xfId="7" applyFont="1" applyFill="1" applyBorder="1" applyAlignment="1">
      <alignment horizontal="center" vertical="center" wrapText="1"/>
    </xf>
    <xf numFmtId="43" fontId="4" fillId="0" borderId="2" xfId="3" applyNumberFormat="1" applyFont="1" applyFill="1" applyBorder="1" applyAlignment="1">
      <alignment horizontal="center" vertical="center" wrapText="1"/>
    </xf>
    <xf numFmtId="0" fontId="4" fillId="2" borderId="2" xfId="3" applyFont="1" applyFill="1" applyBorder="1" applyAlignment="1">
      <alignment horizontal="center" vertical="center" wrapText="1"/>
    </xf>
    <xf numFmtId="43" fontId="4" fillId="2" borderId="2" xfId="3" applyNumberFormat="1" applyFont="1" applyFill="1" applyBorder="1" applyAlignment="1">
      <alignment horizontal="center" vertical="center" wrapText="1"/>
    </xf>
    <xf numFmtId="43" fontId="4" fillId="2" borderId="2" xfId="7" applyFont="1" applyFill="1" applyBorder="1" applyAlignment="1">
      <alignment horizontal="center" vertical="center" wrapText="1"/>
    </xf>
    <xf numFmtId="0" fontId="4" fillId="0" borderId="2" xfId="15" applyFont="1" applyFill="1" applyBorder="1" applyAlignment="1">
      <alignment horizontal="center" vertical="center" wrapText="1"/>
    </xf>
    <xf numFmtId="43" fontId="4" fillId="0" borderId="2" xfId="15" applyNumberFormat="1" applyFont="1" applyFill="1" applyBorder="1" applyAlignment="1">
      <alignment horizontal="center" vertical="center" wrapText="1"/>
    </xf>
    <xf numFmtId="0" fontId="4" fillId="0" borderId="2" xfId="3" applyNumberFormat="1" applyFont="1" applyFill="1" applyBorder="1" applyAlignment="1">
      <alignment horizontal="center" vertical="center" wrapText="1"/>
    </xf>
    <xf numFmtId="0" fontId="4" fillId="0" borderId="6" xfId="3" applyFont="1" applyFill="1" applyBorder="1" applyAlignment="1">
      <alignment horizontal="center" vertical="center" wrapText="1"/>
    </xf>
    <xf numFmtId="4" fontId="3" fillId="0" borderId="2" xfId="3" applyNumberFormat="1" applyFont="1" applyFill="1" applyBorder="1" applyAlignment="1">
      <alignment horizontal="right" vertical="center" wrapText="1"/>
    </xf>
    <xf numFmtId="4" fontId="2" fillId="0" borderId="2" xfId="3" applyNumberFormat="1" applyFont="1" applyFill="1" applyBorder="1" applyAlignment="1">
      <alignment horizontal="right" vertical="center" wrapText="1"/>
    </xf>
    <xf numFmtId="4" fontId="2" fillId="0" borderId="2" xfId="0" applyNumberFormat="1" applyFont="1" applyFill="1" applyBorder="1" applyAlignment="1">
      <alignment horizontal="right" vertical="center" wrapText="1"/>
    </xf>
    <xf numFmtId="4" fontId="5" fillId="0" borderId="2" xfId="3" applyNumberFormat="1" applyFont="1" applyFill="1" applyBorder="1" applyAlignment="1">
      <alignment horizontal="right" vertical="center" wrapText="1"/>
    </xf>
    <xf numFmtId="4" fontId="3" fillId="0" borderId="2" xfId="0" applyNumberFormat="1" applyFont="1" applyFill="1" applyBorder="1" applyAlignment="1">
      <alignment horizontal="right" vertical="center" wrapText="1"/>
    </xf>
    <xf numFmtId="4" fontId="2" fillId="0" borderId="2" xfId="1" applyNumberFormat="1" applyFont="1" applyFill="1" applyBorder="1" applyAlignment="1">
      <alignment horizontal="right" vertical="center" wrapText="1"/>
    </xf>
    <xf numFmtId="4" fontId="5" fillId="0" borderId="2" xfId="1" applyNumberFormat="1" applyFont="1" applyFill="1" applyBorder="1" applyAlignment="1">
      <alignment horizontal="right" vertical="center" wrapText="1"/>
    </xf>
    <xf numFmtId="4" fontId="3" fillId="0" borderId="2" xfId="3" applyNumberFormat="1" applyFont="1" applyFill="1" applyBorder="1" applyAlignment="1">
      <alignment horizontal="right" vertical="center"/>
    </xf>
    <xf numFmtId="4" fontId="5" fillId="0" borderId="2" xfId="0" applyNumberFormat="1" applyFont="1" applyFill="1" applyBorder="1" applyAlignment="1">
      <alignment horizontal="right" vertical="center"/>
    </xf>
    <xf numFmtId="4" fontId="3" fillId="0" borderId="2" xfId="0" applyNumberFormat="1" applyFont="1" applyFill="1" applyBorder="1" applyAlignment="1">
      <alignment horizontal="right" vertical="center"/>
    </xf>
    <xf numFmtId="0" fontId="5" fillId="0" borderId="2" xfId="0" applyFont="1" applyFill="1" applyBorder="1" applyAlignment="1">
      <alignment horizontal="left" vertical="center" wrapText="1"/>
    </xf>
    <xf numFmtId="0" fontId="2" fillId="0" borderId="2" xfId="3" applyFont="1" applyFill="1" applyBorder="1" applyAlignment="1">
      <alignment horizontal="center" vertical="center" wrapText="1"/>
    </xf>
    <xf numFmtId="0" fontId="2" fillId="0" borderId="6" xfId="3" applyFont="1" applyFill="1" applyBorder="1" applyAlignment="1">
      <alignment horizontal="center" vertical="center" wrapText="1"/>
    </xf>
    <xf numFmtId="4" fontId="28" fillId="0" borderId="2" xfId="3" applyNumberFormat="1" applyFont="1" applyFill="1" applyBorder="1" applyAlignment="1">
      <alignment horizontal="right" vertical="center" wrapText="1"/>
    </xf>
    <xf numFmtId="4" fontId="28" fillId="0" borderId="2" xfId="3" applyNumberFormat="1" applyFont="1" applyFill="1" applyBorder="1" applyAlignment="1">
      <alignment horizontal="right" vertical="center"/>
    </xf>
    <xf numFmtId="0" fontId="28" fillId="0" borderId="2" xfId="12" applyNumberFormat="1" applyFont="1" applyFill="1" applyBorder="1" applyAlignment="1" applyProtection="1">
      <alignment horizontal="left" vertical="center" wrapText="1"/>
      <protection locked="0"/>
    </xf>
    <xf numFmtId="4" fontId="28" fillId="0" borderId="2" xfId="0" applyNumberFormat="1" applyFont="1" applyFill="1" applyBorder="1" applyAlignment="1">
      <alignment horizontal="right" vertical="center" wrapText="1"/>
    </xf>
    <xf numFmtId="0" fontId="29" fillId="0" borderId="2" xfId="3" applyFont="1" applyFill="1" applyBorder="1" applyAlignment="1">
      <alignment horizontal="center" vertical="center" wrapText="1"/>
    </xf>
    <xf numFmtId="43" fontId="5" fillId="0" borderId="2" xfId="1" applyFont="1" applyFill="1" applyBorder="1" applyAlignment="1">
      <alignment horizontal="right" vertical="center" wrapText="1"/>
    </xf>
    <xf numFmtId="43" fontId="3" fillId="0" borderId="2" xfId="1" applyFont="1" applyFill="1" applyBorder="1" applyAlignment="1">
      <alignment horizontal="right" vertical="center" wrapText="1"/>
    </xf>
    <xf numFmtId="43" fontId="4" fillId="0" borderId="2" xfId="1" applyFont="1" applyFill="1" applyBorder="1" applyAlignment="1">
      <alignment horizontal="right" vertical="center" wrapText="1"/>
    </xf>
    <xf numFmtId="43" fontId="3" fillId="2" borderId="2" xfId="1" applyFont="1" applyFill="1" applyBorder="1" applyAlignment="1">
      <alignment horizontal="right" vertical="center" wrapText="1"/>
    </xf>
    <xf numFmtId="43" fontId="3" fillId="2" borderId="2" xfId="1" applyFont="1" applyFill="1" applyBorder="1" applyAlignment="1">
      <alignment horizontal="right" vertical="center"/>
    </xf>
    <xf numFmtId="43" fontId="28" fillId="3" borderId="2" xfId="1" applyFont="1" applyFill="1" applyBorder="1" applyAlignment="1">
      <alignment horizontal="right" vertical="center" wrapText="1"/>
    </xf>
    <xf numFmtId="43" fontId="28" fillId="3" borderId="2" xfId="1" applyFont="1" applyFill="1" applyBorder="1" applyAlignment="1">
      <alignment horizontal="right" vertical="center"/>
    </xf>
    <xf numFmtId="43" fontId="3" fillId="0" borderId="2" xfId="1" applyFont="1" applyFill="1" applyBorder="1" applyAlignment="1">
      <alignment horizontal="right" vertical="center"/>
    </xf>
    <xf numFmtId="43" fontId="4" fillId="2" borderId="2" xfId="1" applyFont="1" applyFill="1" applyBorder="1" applyAlignment="1">
      <alignment horizontal="right" vertical="center" wrapText="1"/>
    </xf>
    <xf numFmtId="43" fontId="5" fillId="0" borderId="2" xfId="1" applyFont="1" applyFill="1" applyBorder="1" applyAlignment="1">
      <alignment horizontal="right" vertical="center"/>
    </xf>
    <xf numFmtId="43" fontId="3" fillId="0" borderId="2" xfId="1" applyFont="1" applyFill="1" applyBorder="1" applyAlignment="1">
      <alignment horizontal="right"/>
    </xf>
    <xf numFmtId="43" fontId="2" fillId="0" borderId="2" xfId="1" applyFont="1" applyFill="1" applyBorder="1" applyAlignment="1">
      <alignment horizontal="right" vertical="center"/>
    </xf>
    <xf numFmtId="43" fontId="4" fillId="0" borderId="2" xfId="1" applyFont="1" applyFill="1" applyBorder="1" applyAlignment="1">
      <alignment horizontal="right" vertical="center"/>
    </xf>
    <xf numFmtId="0" fontId="37" fillId="0" borderId="0" xfId="3" applyFont="1" applyFill="1" applyBorder="1" applyAlignment="1">
      <alignment vertical="center"/>
    </xf>
    <xf numFmtId="0" fontId="2" fillId="0" borderId="6" xfId="3" applyFont="1" applyFill="1" applyBorder="1" applyAlignment="1">
      <alignment horizontal="center" vertical="center" wrapText="1"/>
    </xf>
    <xf numFmtId="0" fontId="2" fillId="0" borderId="4"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5" xfId="3" applyFont="1" applyFill="1" applyBorder="1" applyAlignment="1">
      <alignment vertical="center" wrapText="1"/>
    </xf>
    <xf numFmtId="0" fontId="2" fillId="0" borderId="12" xfId="3" applyFont="1" applyFill="1" applyBorder="1" applyAlignment="1">
      <alignment horizontal="center" vertical="center" wrapText="1"/>
    </xf>
    <xf numFmtId="0" fontId="2" fillId="0" borderId="7" xfId="3" applyFont="1" applyFill="1" applyBorder="1" applyAlignment="1">
      <alignment horizontal="center" vertical="center" wrapText="1"/>
    </xf>
    <xf numFmtId="0" fontId="2" fillId="0" borderId="14" xfId="3" applyFont="1" applyFill="1" applyBorder="1" applyAlignment="1">
      <alignment horizontal="center" vertical="center" wrapText="1"/>
    </xf>
    <xf numFmtId="43" fontId="3" fillId="2" borderId="0" xfId="1" applyNumberFormat="1" applyFont="1" applyFill="1"/>
    <xf numFmtId="43" fontId="3" fillId="3" borderId="2" xfId="1" applyFont="1" applyFill="1" applyBorder="1" applyAlignment="1">
      <alignment horizontal="right" vertical="center"/>
    </xf>
    <xf numFmtId="0" fontId="28" fillId="2" borderId="2" xfId="3" applyFont="1" applyFill="1" applyBorder="1" applyAlignment="1">
      <alignment horizontal="left" vertical="center" wrapText="1"/>
    </xf>
    <xf numFmtId="43" fontId="28" fillId="2" borderId="2" xfId="1" applyFont="1" applyFill="1" applyBorder="1" applyAlignment="1">
      <alignment horizontal="right" vertical="center" wrapText="1"/>
    </xf>
    <xf numFmtId="43" fontId="28" fillId="2" borderId="2" xfId="1" applyFont="1" applyFill="1" applyBorder="1" applyAlignment="1">
      <alignment horizontal="right" vertical="center"/>
    </xf>
    <xf numFmtId="0" fontId="28" fillId="2" borderId="2" xfId="3" applyFont="1" applyFill="1" applyBorder="1" applyAlignment="1">
      <alignment horizontal="center" vertical="center"/>
    </xf>
    <xf numFmtId="176" fontId="3" fillId="2" borderId="0" xfId="1" applyNumberFormat="1" applyFont="1" applyFill="1"/>
    <xf numFmtId="175" fontId="4" fillId="0" borderId="2" xfId="1" applyNumberFormat="1" applyFont="1" applyFill="1" applyBorder="1" applyAlignment="1">
      <alignment horizontal="right" vertical="center" wrapText="1"/>
    </xf>
    <xf numFmtId="176" fontId="3" fillId="2" borderId="2" xfId="1" applyNumberFormat="1" applyFont="1" applyFill="1" applyBorder="1" applyAlignment="1">
      <alignment horizontal="right" vertical="center" wrapText="1"/>
    </xf>
    <xf numFmtId="176" fontId="2" fillId="0" borderId="2" xfId="1" applyNumberFormat="1" applyFont="1" applyFill="1" applyBorder="1" applyAlignment="1">
      <alignment horizontal="right" vertical="center" wrapText="1"/>
    </xf>
    <xf numFmtId="43" fontId="2" fillId="0" borderId="2" xfId="1" applyNumberFormat="1" applyFont="1" applyFill="1" applyBorder="1" applyAlignment="1">
      <alignment horizontal="right" vertical="center" wrapText="1"/>
    </xf>
    <xf numFmtId="0" fontId="2" fillId="4" borderId="0" xfId="3" applyFont="1" applyFill="1" applyBorder="1" applyAlignment="1">
      <alignment vertical="center"/>
    </xf>
    <xf numFmtId="0" fontId="2" fillId="4" borderId="6" xfId="3" applyFont="1" applyFill="1" applyBorder="1" applyAlignment="1">
      <alignment horizontal="center" vertical="center" wrapText="1"/>
    </xf>
    <xf numFmtId="0" fontId="4" fillId="4" borderId="6" xfId="3" applyFont="1" applyFill="1" applyBorder="1" applyAlignment="1">
      <alignment horizontal="center" vertical="center" wrapText="1"/>
    </xf>
    <xf numFmtId="43" fontId="2" fillId="4" borderId="2" xfId="1" applyFont="1" applyFill="1" applyBorder="1" applyAlignment="1">
      <alignment horizontal="right" vertical="center" wrapText="1"/>
    </xf>
    <xf numFmtId="43" fontId="5" fillId="4" borderId="2" xfId="1" applyFont="1" applyFill="1" applyBorder="1" applyAlignment="1">
      <alignment horizontal="right" vertical="center" wrapText="1"/>
    </xf>
    <xf numFmtId="43" fontId="3" fillId="4" borderId="2" xfId="1" applyFont="1" applyFill="1" applyBorder="1" applyAlignment="1">
      <alignment horizontal="right" vertical="center" wrapText="1"/>
    </xf>
    <xf numFmtId="43" fontId="4" fillId="4" borderId="2" xfId="1" applyFont="1" applyFill="1" applyBorder="1" applyAlignment="1">
      <alignment horizontal="right" vertical="center" wrapText="1"/>
    </xf>
    <xf numFmtId="43" fontId="3" fillId="4" borderId="2" xfId="1" applyFont="1" applyFill="1" applyBorder="1" applyAlignment="1">
      <alignment horizontal="right" vertical="center"/>
    </xf>
    <xf numFmtId="43" fontId="28" fillId="4" borderId="2" xfId="1" applyFont="1" applyFill="1" applyBorder="1" applyAlignment="1">
      <alignment horizontal="right" vertical="center"/>
    </xf>
    <xf numFmtId="43" fontId="28" fillId="4" borderId="2" xfId="1" applyFont="1" applyFill="1" applyBorder="1" applyAlignment="1">
      <alignment horizontal="right" vertical="center" wrapText="1"/>
    </xf>
    <xf numFmtId="43" fontId="5" fillId="4" borderId="2" xfId="1" applyFont="1" applyFill="1" applyBorder="1" applyAlignment="1">
      <alignment horizontal="right" vertical="center"/>
    </xf>
    <xf numFmtId="43" fontId="3" fillId="4" borderId="2" xfId="1" applyFont="1" applyFill="1" applyBorder="1" applyAlignment="1">
      <alignment horizontal="right"/>
    </xf>
    <xf numFmtId="43" fontId="2" fillId="4" borderId="2" xfId="1" applyFont="1" applyFill="1" applyBorder="1" applyAlignment="1">
      <alignment horizontal="right" vertical="center"/>
    </xf>
    <xf numFmtId="168" fontId="3" fillId="4" borderId="2" xfId="0" applyNumberFormat="1" applyFont="1" applyFill="1" applyBorder="1" applyAlignment="1">
      <alignment horizontal="right" vertical="center"/>
    </xf>
    <xf numFmtId="3" fontId="3" fillId="4" borderId="2" xfId="0" applyNumberFormat="1" applyFont="1" applyFill="1" applyBorder="1" applyAlignment="1">
      <alignment horizontal="right" vertical="center"/>
    </xf>
    <xf numFmtId="0" fontId="3" fillId="4" borderId="0" xfId="0" applyFont="1" applyFill="1" applyAlignment="1">
      <alignment horizontal="right"/>
    </xf>
    <xf numFmtId="175" fontId="4" fillId="4" borderId="2" xfId="1" applyNumberFormat="1" applyFont="1" applyFill="1" applyBorder="1" applyAlignment="1">
      <alignment horizontal="right" vertical="center" wrapText="1"/>
    </xf>
    <xf numFmtId="0" fontId="3" fillId="0" borderId="2" xfId="0" applyFont="1" applyFill="1" applyBorder="1" applyAlignment="1">
      <alignment horizontal="right"/>
    </xf>
    <xf numFmtId="0" fontId="3" fillId="4" borderId="2" xfId="0" applyFont="1" applyFill="1" applyBorder="1" applyAlignment="1">
      <alignment horizontal="right"/>
    </xf>
    <xf numFmtId="169" fontId="3" fillId="0" borderId="2" xfId="10" applyNumberFormat="1" applyFont="1" applyFill="1" applyBorder="1" applyAlignment="1">
      <alignment horizontal="left" vertical="center" wrapText="1"/>
    </xf>
    <xf numFmtId="169" fontId="3" fillId="0" borderId="2" xfId="10" applyNumberFormat="1" applyFont="1" applyFill="1" applyBorder="1" applyAlignment="1">
      <alignment horizontal="center" vertical="center" wrapText="1"/>
    </xf>
    <xf numFmtId="43" fontId="3" fillId="0" borderId="2" xfId="10" applyNumberFormat="1" applyFont="1" applyFill="1" applyBorder="1" applyAlignment="1">
      <alignment vertical="center" wrapText="1"/>
    </xf>
    <xf numFmtId="0" fontId="2" fillId="0" borderId="6" xfId="3" applyFont="1" applyFill="1" applyBorder="1" applyAlignment="1">
      <alignment horizontal="center" vertical="center" wrapText="1"/>
    </xf>
    <xf numFmtId="0" fontId="3" fillId="3" borderId="2" xfId="5" applyFont="1" applyFill="1" applyBorder="1" applyAlignment="1">
      <alignment horizontal="center" vertical="center" wrapText="1"/>
    </xf>
    <xf numFmtId="0" fontId="3" fillId="3" borderId="2" xfId="5" applyFont="1" applyFill="1" applyBorder="1" applyAlignment="1">
      <alignment horizontal="left" vertical="center" wrapText="1"/>
    </xf>
    <xf numFmtId="43" fontId="3" fillId="3" borderId="2" xfId="1" applyFont="1" applyFill="1" applyBorder="1" applyAlignment="1">
      <alignment horizontal="right" vertical="center" wrapText="1"/>
    </xf>
    <xf numFmtId="0" fontId="3" fillId="3" borderId="2" xfId="3" applyFont="1" applyFill="1" applyBorder="1" applyAlignment="1">
      <alignment horizontal="center" vertical="center"/>
    </xf>
    <xf numFmtId="170" fontId="3" fillId="3" borderId="0" xfId="1" applyNumberFormat="1" applyFont="1" applyFill="1"/>
    <xf numFmtId="0" fontId="3" fillId="3" borderId="0" xfId="0" applyFont="1" applyFill="1"/>
    <xf numFmtId="43" fontId="28" fillId="0" borderId="2" xfId="1" applyFont="1" applyFill="1" applyBorder="1" applyAlignment="1">
      <alignment horizontal="right" vertical="center" wrapText="1"/>
    </xf>
    <xf numFmtId="43" fontId="3" fillId="0" borderId="0" xfId="1" applyNumberFormat="1" applyFont="1" applyFill="1"/>
    <xf numFmtId="0" fontId="4" fillId="4" borderId="2" xfId="3" applyFont="1" applyFill="1" applyBorder="1" applyAlignment="1">
      <alignment horizontal="left" vertical="center" wrapText="1"/>
    </xf>
    <xf numFmtId="0" fontId="4" fillId="4" borderId="2" xfId="15" applyFont="1" applyFill="1" applyBorder="1" applyAlignment="1">
      <alignment horizontal="left" vertical="center" wrapText="1"/>
    </xf>
    <xf numFmtId="0" fontId="4" fillId="4" borderId="2" xfId="16" applyFont="1" applyFill="1" applyBorder="1" applyAlignment="1">
      <alignment horizontal="left" vertical="center" wrapText="1"/>
    </xf>
    <xf numFmtId="0" fontId="4" fillId="4" borderId="2" xfId="12" applyNumberFormat="1" applyFont="1" applyFill="1" applyBorder="1" applyAlignment="1" applyProtection="1">
      <alignment horizontal="left" vertical="center" wrapText="1"/>
      <protection locked="0"/>
    </xf>
    <xf numFmtId="43" fontId="28" fillId="0" borderId="2" xfId="1" applyFont="1" applyFill="1" applyBorder="1" applyAlignment="1">
      <alignment horizontal="right" vertical="center"/>
    </xf>
    <xf numFmtId="0" fontId="3" fillId="5" borderId="2" xfId="3" applyFont="1" applyFill="1" applyBorder="1" applyAlignment="1">
      <alignment horizontal="left" vertical="center" wrapText="1"/>
    </xf>
    <xf numFmtId="177" fontId="3" fillId="0" borderId="0" xfId="1" applyNumberFormat="1" applyFont="1" applyFill="1"/>
    <xf numFmtId="43" fontId="3" fillId="4" borderId="2" xfId="1" applyNumberFormat="1" applyFont="1" applyFill="1" applyBorder="1" applyAlignment="1">
      <alignment horizontal="right" vertical="center"/>
    </xf>
    <xf numFmtId="178" fontId="3" fillId="0" borderId="0" xfId="1" applyNumberFormat="1" applyFont="1" applyFill="1"/>
    <xf numFmtId="176" fontId="28" fillId="2" borderId="0" xfId="1" applyNumberFormat="1" applyFont="1" applyFill="1" applyAlignment="1">
      <alignment horizontal="center" vertical="center" wrapText="1"/>
    </xf>
    <xf numFmtId="43" fontId="28" fillId="2" borderId="0" xfId="1" applyNumberFormat="1" applyFont="1" applyFill="1" applyAlignment="1">
      <alignment horizontal="center" vertical="center" wrapText="1"/>
    </xf>
    <xf numFmtId="0" fontId="4" fillId="4" borderId="2" xfId="3"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2" fillId="0" borderId="2" xfId="3" applyFont="1" applyFill="1" applyBorder="1" applyAlignment="1">
      <alignment horizontal="center" vertical="center" wrapText="1"/>
    </xf>
    <xf numFmtId="0" fontId="2" fillId="0" borderId="4" xfId="3" applyFont="1" applyFill="1" applyBorder="1" applyAlignment="1">
      <alignment horizontal="center" vertical="center" wrapText="1"/>
    </xf>
    <xf numFmtId="0" fontId="2" fillId="0" borderId="6" xfId="3" applyFont="1" applyFill="1" applyBorder="1" applyAlignment="1">
      <alignment horizontal="center" vertical="center" wrapText="1"/>
    </xf>
    <xf numFmtId="175" fontId="3" fillId="2" borderId="0" xfId="1" applyNumberFormat="1" applyFont="1" applyFill="1"/>
    <xf numFmtId="177" fontId="3" fillId="2" borderId="0" xfId="1" applyNumberFormat="1" applyFont="1" applyFill="1"/>
    <xf numFmtId="179" fontId="3" fillId="2" borderId="0" xfId="1" applyNumberFormat="1" applyFont="1" applyFill="1"/>
    <xf numFmtId="0" fontId="2" fillId="4" borderId="2" xfId="3" applyFont="1" applyFill="1" applyBorder="1" applyAlignment="1">
      <alignment horizontal="center" vertical="center" wrapText="1"/>
    </xf>
    <xf numFmtId="178" fontId="4" fillId="4" borderId="2" xfId="1" applyNumberFormat="1" applyFont="1" applyFill="1" applyBorder="1" applyAlignment="1">
      <alignment horizontal="right" vertical="center" wrapText="1"/>
    </xf>
    <xf numFmtId="178" fontId="4" fillId="0" borderId="2" xfId="1" applyNumberFormat="1" applyFont="1" applyFill="1" applyBorder="1" applyAlignment="1">
      <alignment horizontal="right" vertical="center" wrapText="1"/>
    </xf>
    <xf numFmtId="178" fontId="3" fillId="4" borderId="2" xfId="1" applyNumberFormat="1" applyFont="1" applyFill="1" applyBorder="1" applyAlignment="1">
      <alignment horizontal="right" vertical="center"/>
    </xf>
    <xf numFmtId="178" fontId="3" fillId="2" borderId="2" xfId="1" applyNumberFormat="1" applyFont="1" applyFill="1" applyBorder="1" applyAlignment="1">
      <alignment horizontal="right" vertical="center"/>
    </xf>
    <xf numFmtId="178" fontId="28" fillId="2" borderId="2" xfId="1" applyNumberFormat="1" applyFont="1" applyFill="1" applyBorder="1" applyAlignment="1">
      <alignment horizontal="right" vertical="center"/>
    </xf>
    <xf numFmtId="178" fontId="28" fillId="4" borderId="2" xfId="1" applyNumberFormat="1" applyFont="1" applyFill="1" applyBorder="1" applyAlignment="1">
      <alignment horizontal="right" vertical="center"/>
    </xf>
    <xf numFmtId="43" fontId="3" fillId="2" borderId="2" xfId="1" applyFont="1" applyFill="1" applyBorder="1" applyAlignment="1">
      <alignment horizontal="center" vertical="center" wrapText="1"/>
    </xf>
    <xf numFmtId="43" fontId="28" fillId="2" borderId="2" xfId="1" applyFont="1" applyFill="1" applyBorder="1" applyAlignment="1">
      <alignment horizontal="center" vertical="center" wrapText="1"/>
    </xf>
    <xf numFmtId="43" fontId="4" fillId="0" borderId="2" xfId="1" applyNumberFormat="1" applyFont="1" applyFill="1" applyBorder="1" applyAlignment="1">
      <alignment horizontal="right" vertical="center" wrapText="1"/>
    </xf>
    <xf numFmtId="0" fontId="2" fillId="3" borderId="0" xfId="3" applyFont="1" applyFill="1" applyBorder="1" applyAlignment="1">
      <alignment vertical="center"/>
    </xf>
    <xf numFmtId="0" fontId="2" fillId="3" borderId="2" xfId="3" applyFont="1" applyFill="1" applyBorder="1" applyAlignment="1">
      <alignment horizontal="center" vertical="center" wrapText="1"/>
    </xf>
    <xf numFmtId="0" fontId="4" fillId="3" borderId="6" xfId="3" applyFont="1" applyFill="1" applyBorder="1" applyAlignment="1">
      <alignment horizontal="center" vertical="center" wrapText="1"/>
    </xf>
    <xf numFmtId="43" fontId="2" fillId="3" borderId="2" xfId="1" applyFont="1" applyFill="1" applyBorder="1" applyAlignment="1">
      <alignment horizontal="right" vertical="center" wrapText="1"/>
    </xf>
    <xf numFmtId="175" fontId="4" fillId="3" borderId="2" xfId="1" applyNumberFormat="1" applyFont="1" applyFill="1" applyBorder="1" applyAlignment="1">
      <alignment horizontal="right" vertical="center" wrapText="1"/>
    </xf>
    <xf numFmtId="43" fontId="4" fillId="3" borderId="2" xfId="1" applyNumberFormat="1" applyFont="1" applyFill="1" applyBorder="1" applyAlignment="1">
      <alignment horizontal="right" vertical="center" wrapText="1"/>
    </xf>
    <xf numFmtId="168" fontId="3" fillId="3" borderId="2" xfId="0" applyNumberFormat="1" applyFont="1" applyFill="1" applyBorder="1" applyAlignment="1">
      <alignment horizontal="right" vertical="center"/>
    </xf>
    <xf numFmtId="0" fontId="3" fillId="3" borderId="0" xfId="0" applyFont="1" applyFill="1" applyAlignment="1">
      <alignment horizontal="right"/>
    </xf>
    <xf numFmtId="43" fontId="3" fillId="0" borderId="2" xfId="1" applyFont="1" applyFill="1" applyBorder="1" applyAlignment="1">
      <alignment horizontal="center" vertical="center" wrapText="1"/>
    </xf>
    <xf numFmtId="0" fontId="3" fillId="0" borderId="2" xfId="0" applyFont="1" applyFill="1" applyBorder="1" applyAlignment="1">
      <alignment horizontal="left"/>
    </xf>
    <xf numFmtId="176" fontId="3" fillId="4" borderId="2" xfId="1" applyNumberFormat="1" applyFont="1" applyFill="1" applyBorder="1" applyAlignment="1">
      <alignment horizontal="right" vertical="center"/>
    </xf>
    <xf numFmtId="176" fontId="3" fillId="2" borderId="2" xfId="1" applyNumberFormat="1" applyFont="1" applyFill="1" applyBorder="1" applyAlignment="1">
      <alignment horizontal="right" vertical="center"/>
    </xf>
    <xf numFmtId="0" fontId="2" fillId="0" borderId="2" xfId="3" applyFont="1" applyFill="1" applyBorder="1" applyAlignment="1">
      <alignment horizontal="center" vertical="center" wrapText="1"/>
    </xf>
    <xf numFmtId="0" fontId="2" fillId="0" borderId="4"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5" fillId="0" borderId="2" xfId="0" applyFont="1" applyFill="1" applyBorder="1" applyAlignment="1">
      <alignment horizontal="left" vertical="center" wrapText="1"/>
    </xf>
    <xf numFmtId="174" fontId="3" fillId="0" borderId="2" xfId="0" applyNumberFormat="1" applyFont="1" applyFill="1" applyBorder="1" applyAlignment="1">
      <alignment horizontal="right"/>
    </xf>
    <xf numFmtId="168" fontId="3" fillId="0" borderId="2" xfId="0" applyNumberFormat="1" applyFont="1" applyFill="1" applyBorder="1" applyAlignment="1">
      <alignment horizontal="right"/>
    </xf>
    <xf numFmtId="180" fontId="3" fillId="0" borderId="2" xfId="0" applyNumberFormat="1" applyFont="1" applyFill="1" applyBorder="1" applyAlignment="1">
      <alignment horizontal="right" vertical="center"/>
    </xf>
    <xf numFmtId="168" fontId="3" fillId="4" borderId="2" xfId="0" applyNumberFormat="1" applyFont="1" applyFill="1" applyBorder="1" applyAlignment="1">
      <alignment horizontal="right"/>
    </xf>
    <xf numFmtId="168" fontId="3" fillId="3" borderId="2" xfId="0" applyNumberFormat="1" applyFont="1" applyFill="1" applyBorder="1" applyAlignment="1">
      <alignment horizontal="right"/>
    </xf>
    <xf numFmtId="175" fontId="2" fillId="0" borderId="2" xfId="1" applyNumberFormat="1" applyFont="1" applyFill="1" applyBorder="1" applyAlignment="1">
      <alignment horizontal="right" vertical="center" wrapText="1"/>
    </xf>
    <xf numFmtId="0" fontId="2"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1" xfId="3" applyFont="1" applyFill="1" applyBorder="1" applyAlignment="1">
      <alignment wrapText="1"/>
    </xf>
    <xf numFmtId="43" fontId="2" fillId="0" borderId="2" xfId="1" applyFont="1" applyFill="1" applyBorder="1" applyAlignment="1">
      <alignment horizontal="center" vertical="center" wrapText="1"/>
    </xf>
    <xf numFmtId="0" fontId="5" fillId="0" borderId="2" xfId="3" applyFont="1" applyFill="1" applyBorder="1" applyAlignment="1">
      <alignment horizontal="center" vertical="center" wrapText="1"/>
    </xf>
    <xf numFmtId="169" fontId="38" fillId="0" borderId="2" xfId="10" applyNumberFormat="1" applyFont="1" applyFill="1" applyBorder="1" applyAlignment="1">
      <alignment horizontal="center" vertical="center" wrapText="1"/>
    </xf>
    <xf numFmtId="259" fontId="38" fillId="0" borderId="2" xfId="0" applyNumberFormat="1" applyFont="1" applyFill="1" applyBorder="1" applyAlignment="1">
      <alignment horizontal="center" vertical="center" wrapText="1"/>
    </xf>
    <xf numFmtId="0" fontId="3" fillId="0" borderId="0" xfId="0" applyFont="1" applyFill="1"/>
    <xf numFmtId="0" fontId="4" fillId="0" borderId="0" xfId="3" applyFont="1" applyFill="1" applyBorder="1" applyAlignment="1">
      <alignment horizontal="center" vertical="center" wrapText="1"/>
    </xf>
    <xf numFmtId="0" fontId="4" fillId="0" borderId="46" xfId="3" applyFont="1" applyFill="1" applyBorder="1" applyAlignment="1">
      <alignment horizontal="center" vertical="center" wrapText="1"/>
    </xf>
    <xf numFmtId="0" fontId="2" fillId="0" borderId="0" xfId="0" applyFont="1" applyFill="1"/>
    <xf numFmtId="0" fontId="3" fillId="0" borderId="46" xfId="3"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xf>
    <xf numFmtId="0" fontId="3" fillId="0" borderId="0" xfId="0" applyFont="1" applyFill="1" applyAlignment="1">
      <alignment horizontal="center"/>
    </xf>
    <xf numFmtId="0" fontId="3" fillId="0" borderId="0" xfId="0" applyFont="1" applyFill="1" applyAlignment="1">
      <alignment horizontal="right"/>
    </xf>
    <xf numFmtId="0" fontId="5" fillId="0" borderId="46" xfId="0" applyFont="1" applyFill="1" applyBorder="1" applyAlignment="1">
      <alignment horizontal="center" vertical="center" wrapText="1"/>
    </xf>
    <xf numFmtId="174" fontId="2" fillId="0" borderId="46" xfId="3" applyNumberFormat="1" applyFont="1" applyFill="1" applyBorder="1" applyAlignment="1">
      <alignment horizontal="center" vertical="center" wrapText="1"/>
    </xf>
    <xf numFmtId="43" fontId="2" fillId="0" borderId="46" xfId="1" applyNumberFormat="1" applyFont="1" applyFill="1" applyBorder="1" applyAlignment="1">
      <alignment horizontal="center" vertical="center" wrapText="1"/>
    </xf>
    <xf numFmtId="43" fontId="2" fillId="0" borderId="46" xfId="1" applyNumberFormat="1" applyFont="1" applyFill="1" applyBorder="1" applyAlignment="1">
      <alignment horizontal="right" vertical="center" wrapText="1"/>
    </xf>
    <xf numFmtId="0" fontId="3" fillId="0" borderId="0" xfId="0" applyFont="1" applyFill="1" applyAlignment="1">
      <alignment horizontal="center" vertical="center" wrapText="1"/>
    </xf>
    <xf numFmtId="330" fontId="4" fillId="0" borderId="0" xfId="3" applyNumberFormat="1" applyFont="1" applyFill="1" applyBorder="1" applyAlignment="1">
      <alignment horizontal="left" vertical="center" wrapText="1"/>
    </xf>
    <xf numFmtId="43" fontId="3" fillId="0" borderId="46" xfId="1" applyNumberFormat="1" applyFont="1" applyFill="1" applyBorder="1" applyAlignment="1">
      <alignment horizontal="right" vertical="center"/>
    </xf>
    <xf numFmtId="0" fontId="38" fillId="0" borderId="46" xfId="0" applyFont="1" applyFill="1" applyBorder="1" applyAlignment="1">
      <alignment vertical="center" wrapText="1"/>
    </xf>
    <xf numFmtId="0" fontId="38" fillId="0" borderId="46" xfId="0" applyFont="1" applyFill="1" applyBorder="1" applyAlignment="1">
      <alignment horizontal="justify" vertical="center" wrapText="1"/>
    </xf>
    <xf numFmtId="331" fontId="3" fillId="0" borderId="0" xfId="0" applyNumberFormat="1" applyFont="1" applyFill="1"/>
    <xf numFmtId="332" fontId="3" fillId="0" borderId="0" xfId="0" applyNumberFormat="1" applyFont="1" applyFill="1"/>
    <xf numFmtId="332" fontId="2" fillId="0" borderId="0" xfId="0" applyNumberFormat="1" applyFont="1" applyFill="1"/>
    <xf numFmtId="177" fontId="2" fillId="0" borderId="0" xfId="0" applyNumberFormat="1" applyFont="1" applyFill="1"/>
    <xf numFmtId="43" fontId="3" fillId="0" borderId="46" xfId="1" applyNumberFormat="1" applyFont="1" applyFill="1" applyBorder="1" applyAlignment="1">
      <alignment horizontal="right" vertical="center" wrapText="1"/>
    </xf>
    <xf numFmtId="43" fontId="2" fillId="0" borderId="46" xfId="1" applyFont="1" applyFill="1" applyBorder="1" applyAlignment="1">
      <alignment horizontal="center" vertical="center" wrapText="1"/>
    </xf>
    <xf numFmtId="0" fontId="2"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2" fillId="0" borderId="46" xfId="0" applyFont="1" applyFill="1" applyBorder="1" applyAlignment="1">
      <alignment horizontal="center" vertical="center" wrapText="1"/>
    </xf>
    <xf numFmtId="259" fontId="38" fillId="0" borderId="46" xfId="0" applyNumberFormat="1" applyFont="1" applyFill="1" applyBorder="1" applyAlignment="1">
      <alignment horizontal="center" vertical="center" wrapText="1"/>
    </xf>
    <xf numFmtId="0" fontId="38" fillId="0" borderId="46" xfId="3" applyFont="1" applyFill="1" applyBorder="1" applyAlignment="1">
      <alignment horizontal="center" vertical="center" wrapText="1"/>
    </xf>
    <xf numFmtId="0" fontId="38" fillId="0" borderId="46" xfId="5" applyFont="1" applyFill="1" applyBorder="1" applyAlignment="1">
      <alignment horizontal="center" vertical="center" wrapText="1"/>
    </xf>
    <xf numFmtId="0" fontId="13" fillId="0" borderId="0" xfId="0" applyFont="1" applyBorder="1" applyAlignment="1">
      <alignment horizontal="center" vertical="center" wrapText="1"/>
    </xf>
    <xf numFmtId="43" fontId="215" fillId="0" borderId="46" xfId="1" applyFont="1" applyBorder="1" applyAlignment="1">
      <alignment horizontal="center" vertical="center" wrapText="1"/>
    </xf>
    <xf numFmtId="0" fontId="214" fillId="0" borderId="10" xfId="0" applyFont="1" applyBorder="1" applyAlignment="1">
      <alignment horizontal="center" vertical="center" wrapText="1"/>
    </xf>
    <xf numFmtId="0" fontId="11" fillId="0" borderId="46" xfId="0" applyFont="1" applyBorder="1" applyAlignment="1">
      <alignment horizontal="center" vertical="center" wrapText="1"/>
    </xf>
    <xf numFmtId="43" fontId="11" fillId="0" borderId="46" xfId="1" applyFont="1" applyBorder="1" applyAlignment="1">
      <alignment horizontal="center" vertical="center" wrapText="1"/>
    </xf>
    <xf numFmtId="0" fontId="22" fillId="0" borderId="46" xfId="0" applyFont="1" applyBorder="1" applyAlignment="1">
      <alignment horizontal="center" vertical="center" wrapText="1"/>
    </xf>
    <xf numFmtId="0" fontId="11" fillId="0" borderId="46" xfId="0" applyFont="1" applyBorder="1" applyAlignment="1">
      <alignment horizontal="center" vertical="center"/>
    </xf>
    <xf numFmtId="0" fontId="11" fillId="0" borderId="46" xfId="0" applyFont="1" applyBorder="1" applyAlignment="1">
      <alignment vertical="center"/>
    </xf>
    <xf numFmtId="43" fontId="11" fillId="0" borderId="46" xfId="1" applyFont="1" applyBorder="1" applyAlignment="1">
      <alignment horizontal="center" vertical="center"/>
    </xf>
    <xf numFmtId="43" fontId="11" fillId="0" borderId="46" xfId="1" applyFont="1" applyBorder="1" applyAlignment="1">
      <alignment horizontal="right" vertical="center"/>
    </xf>
    <xf numFmtId="0" fontId="12" fillId="0" borderId="46" xfId="0" applyFont="1" applyBorder="1" applyAlignment="1">
      <alignment horizontal="center" vertical="center"/>
    </xf>
    <xf numFmtId="0" fontId="12" fillId="0" borderId="46" xfId="0" applyFont="1" applyBorder="1" applyAlignment="1">
      <alignment horizontal="left" vertical="center" wrapText="1"/>
    </xf>
    <xf numFmtId="43" fontId="12" fillId="0" borderId="46" xfId="1" applyFont="1" applyBorder="1" applyAlignment="1">
      <alignment horizontal="right" vertical="center"/>
    </xf>
    <xf numFmtId="0" fontId="11" fillId="0" borderId="46" xfId="0" applyFont="1" applyBorder="1" applyAlignment="1">
      <alignment horizontal="left" vertical="center"/>
    </xf>
    <xf numFmtId="2" fontId="12" fillId="0" borderId="46" xfId="0" applyNumberFormat="1" applyFont="1" applyBorder="1" applyAlignment="1">
      <alignment horizontal="right" vertical="center"/>
    </xf>
    <xf numFmtId="0" fontId="12" fillId="0" borderId="46" xfId="0" applyFont="1" applyBorder="1" applyAlignment="1">
      <alignment horizontal="left" vertical="center"/>
    </xf>
    <xf numFmtId="2" fontId="12" fillId="0" borderId="46" xfId="0" applyNumberFormat="1" applyFont="1" applyBorder="1" applyAlignment="1">
      <alignment horizontal="center" vertical="center"/>
    </xf>
    <xf numFmtId="43" fontId="5" fillId="0" borderId="46" xfId="1" applyNumberFormat="1" applyFont="1" applyFill="1" applyBorder="1" applyAlignment="1">
      <alignment horizontal="right" vertical="center" wrapText="1"/>
    </xf>
    <xf numFmtId="0" fontId="20" fillId="0" borderId="0" xfId="0" applyFont="1" applyFill="1" applyBorder="1" applyAlignment="1">
      <alignment vertical="center" wrapText="1"/>
    </xf>
    <xf numFmtId="0" fontId="13" fillId="0" borderId="0" xfId="0" applyFont="1" applyBorder="1" applyAlignment="1">
      <alignment horizontal="center" vertical="center" wrapText="1"/>
    </xf>
    <xf numFmtId="0" fontId="2" fillId="0" borderId="46" xfId="3" applyFont="1" applyFill="1" applyBorder="1" applyAlignment="1">
      <alignment horizontal="center" vertical="center" wrapText="1"/>
    </xf>
    <xf numFmtId="0" fontId="5" fillId="0" borderId="46" xfId="3" applyFont="1" applyFill="1" applyBorder="1" applyAlignment="1">
      <alignment horizontal="center" vertical="center" wrapText="1"/>
    </xf>
    <xf numFmtId="0" fontId="2" fillId="0" borderId="2" xfId="3" applyFont="1" applyFill="1" applyBorder="1" applyAlignment="1">
      <alignment horizontal="center" vertical="center" wrapText="1"/>
    </xf>
    <xf numFmtId="43" fontId="3" fillId="0" borderId="46" xfId="1" applyFont="1" applyFill="1" applyBorder="1" applyAlignment="1">
      <alignment horizontal="center" vertical="center" wrapText="1"/>
    </xf>
    <xf numFmtId="43" fontId="3" fillId="0" borderId="2" xfId="1" applyNumberFormat="1" applyFont="1" applyFill="1" applyBorder="1" applyAlignment="1">
      <alignment horizontal="right" vertical="center" wrapText="1"/>
    </xf>
    <xf numFmtId="167" fontId="12" fillId="0" borderId="2" xfId="0" applyNumberFormat="1" applyFont="1" applyBorder="1" applyAlignment="1">
      <alignment horizontal="left" vertical="center" wrapText="1"/>
    </xf>
    <xf numFmtId="0" fontId="5" fillId="0" borderId="46" xfId="0" applyFont="1" applyFill="1" applyBorder="1" applyAlignment="1">
      <alignment horizontal="left" vertical="center" wrapText="1"/>
    </xf>
    <xf numFmtId="49" fontId="38" fillId="0" borderId="46" xfId="3" applyNumberFormat="1" applyFont="1" applyFill="1" applyBorder="1" applyAlignment="1">
      <alignment horizontal="center" vertical="center" wrapText="1"/>
    </xf>
    <xf numFmtId="0" fontId="2" fillId="0" borderId="46" xfId="3" applyFont="1" applyFill="1" applyBorder="1" applyAlignment="1">
      <alignment horizontal="center" vertical="center" wrapText="1"/>
    </xf>
    <xf numFmtId="167" fontId="12" fillId="0" borderId="2" xfId="0" applyNumberFormat="1" applyFont="1" applyBorder="1" applyAlignment="1">
      <alignment horizontal="right" vertical="center" wrapText="1"/>
    </xf>
    <xf numFmtId="43" fontId="12" fillId="0" borderId="46" xfId="1" applyNumberFormat="1" applyFont="1" applyBorder="1" applyAlignment="1">
      <alignment horizontal="right" vertical="center"/>
    </xf>
    <xf numFmtId="43" fontId="11" fillId="0" borderId="46" xfId="1" applyNumberFormat="1" applyFont="1" applyBorder="1" applyAlignment="1">
      <alignment horizontal="right" vertical="center"/>
    </xf>
    <xf numFmtId="43" fontId="12" fillId="0" borderId="46" xfId="1" applyNumberFormat="1" applyFont="1" applyBorder="1" applyAlignment="1">
      <alignment horizontal="center" vertical="center"/>
    </xf>
    <xf numFmtId="43" fontId="215" fillId="0" borderId="47" xfId="1" applyFont="1" applyBorder="1" applyAlignment="1">
      <alignment horizontal="center" vertical="center" wrapText="1"/>
    </xf>
    <xf numFmtId="0" fontId="214" fillId="0" borderId="46" xfId="0" applyFont="1" applyBorder="1" applyAlignment="1">
      <alignment horizontal="center" vertical="center" wrapText="1"/>
    </xf>
    <xf numFmtId="0" fontId="2" fillId="0" borderId="47"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2" fillId="0" borderId="10" xfId="3" applyFont="1" applyFill="1" applyBorder="1" applyAlignment="1">
      <alignment horizontal="center" vertical="center" wrapText="1"/>
    </xf>
    <xf numFmtId="174" fontId="2" fillId="0" borderId="47" xfId="3" applyNumberFormat="1" applyFont="1" applyFill="1" applyBorder="1" applyAlignment="1">
      <alignment horizontal="center" vertical="center" wrapText="1"/>
    </xf>
    <xf numFmtId="174" fontId="2" fillId="0" borderId="10" xfId="3" applyNumberFormat="1" applyFont="1" applyFill="1" applyBorder="1" applyAlignment="1">
      <alignment horizontal="center" vertical="center" wrapText="1"/>
    </xf>
    <xf numFmtId="0" fontId="2" fillId="0" borderId="46" xfId="3" applyFont="1" applyFill="1" applyBorder="1" applyAlignment="1">
      <alignment horizontal="center" vertical="center" wrapText="1"/>
    </xf>
    <xf numFmtId="0" fontId="5" fillId="0" borderId="46" xfId="3" applyFont="1" applyFill="1" applyBorder="1" applyAlignment="1">
      <alignment horizontal="center" vertical="center" wrapText="1"/>
    </xf>
    <xf numFmtId="43" fontId="3" fillId="0" borderId="47" xfId="1" applyFont="1" applyFill="1" applyBorder="1" applyAlignment="1">
      <alignment horizontal="center" vertical="center" wrapText="1"/>
    </xf>
    <xf numFmtId="43" fontId="3" fillId="0" borderId="8" xfId="1" applyFont="1" applyFill="1" applyBorder="1" applyAlignment="1">
      <alignment horizontal="center" vertical="center" wrapText="1"/>
    </xf>
    <xf numFmtId="43" fontId="3" fillId="0" borderId="10" xfId="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0" xfId="0" applyFont="1" applyFill="1" applyAlignment="1">
      <alignment horizontal="center" vertical="center"/>
    </xf>
    <xf numFmtId="0" fontId="4" fillId="0" borderId="0" xfId="0" applyFont="1" applyFill="1" applyBorder="1" applyAlignment="1">
      <alignment horizontal="center" vertical="center" wrapText="1"/>
    </xf>
    <xf numFmtId="0" fontId="4" fillId="0" borderId="1" xfId="3" applyFont="1" applyFill="1" applyBorder="1" applyAlignment="1">
      <alignment horizontal="right" wrapText="1"/>
    </xf>
    <xf numFmtId="0" fontId="2" fillId="0" borderId="2" xfId="3" applyFont="1" applyFill="1" applyBorder="1" applyAlignment="1">
      <alignment horizontal="center" vertical="center" wrapText="1"/>
    </xf>
    <xf numFmtId="0" fontId="2" fillId="0" borderId="2" xfId="3" applyFont="1" applyFill="1" applyBorder="1" applyAlignment="1">
      <alignment horizontal="left" vertical="center" wrapText="1"/>
    </xf>
    <xf numFmtId="0" fontId="2" fillId="0" borderId="46" xfId="3" applyFont="1" applyFill="1" applyBorder="1" applyAlignment="1">
      <alignment horizontal="left" vertical="center" wrapText="1"/>
    </xf>
    <xf numFmtId="0" fontId="2" fillId="0" borderId="6" xfId="3" applyFont="1" applyFill="1" applyBorder="1" applyAlignment="1">
      <alignment horizontal="center" vertical="center" wrapText="1"/>
    </xf>
    <xf numFmtId="0" fontId="2" fillId="0" borderId="45" xfId="3" applyFont="1" applyFill="1" applyBorder="1" applyAlignment="1">
      <alignment horizontal="center" vertical="center" wrapText="1"/>
    </xf>
    <xf numFmtId="0" fontId="2" fillId="0" borderId="49" xfId="3" applyFont="1" applyFill="1" applyBorder="1" applyAlignment="1">
      <alignment horizontal="center" vertical="center" wrapText="1"/>
    </xf>
    <xf numFmtId="0" fontId="2" fillId="0" borderId="51" xfId="3" applyFont="1" applyFill="1" applyBorder="1" applyAlignment="1">
      <alignment horizontal="center" vertical="center" wrapText="1"/>
    </xf>
    <xf numFmtId="0" fontId="5" fillId="0" borderId="45" xfId="3" applyFont="1" applyFill="1" applyBorder="1" applyAlignment="1">
      <alignment horizontal="center" vertical="center" wrapText="1"/>
    </xf>
    <xf numFmtId="0" fontId="5" fillId="0" borderId="51" xfId="3" applyFont="1" applyFill="1" applyBorder="1" applyAlignment="1">
      <alignment horizontal="center" vertical="center" wrapText="1"/>
    </xf>
    <xf numFmtId="0" fontId="2" fillId="0" borderId="0" xfId="3"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3" xfId="3" applyFont="1" applyFill="1" applyBorder="1" applyAlignment="1">
      <alignment horizontal="center" vertical="center" wrapText="1"/>
    </xf>
    <xf numFmtId="0" fontId="2" fillId="0" borderId="4" xfId="3" applyFont="1" applyFill="1" applyBorder="1" applyAlignment="1">
      <alignment horizontal="center" vertical="center" wrapText="1"/>
    </xf>
    <xf numFmtId="0" fontId="2" fillId="0" borderId="5" xfId="3" applyFont="1" applyFill="1" applyBorder="1" applyAlignment="1">
      <alignment horizontal="center" vertical="center" wrapText="1"/>
    </xf>
    <xf numFmtId="0" fontId="5" fillId="0" borderId="2" xfId="0" applyFont="1" applyFill="1" applyBorder="1" applyAlignment="1">
      <alignment horizontal="left" vertical="center" wrapText="1"/>
    </xf>
    <xf numFmtId="0" fontId="3" fillId="0" borderId="7" xfId="0" applyFont="1" applyFill="1" applyBorder="1" applyAlignment="1">
      <alignment horizontal="left" vertical="top"/>
    </xf>
    <xf numFmtId="0" fontId="11" fillId="0" borderId="2" xfId="0" applyFont="1" applyBorder="1" applyAlignment="1">
      <alignment horizontal="center" vertical="center" wrapText="1"/>
    </xf>
    <xf numFmtId="0" fontId="11"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right"/>
    </xf>
    <xf numFmtId="0" fontId="11" fillId="0" borderId="2" xfId="0" applyFont="1" applyBorder="1" applyAlignment="1">
      <alignment horizontal="center" vertical="center"/>
    </xf>
    <xf numFmtId="0" fontId="20" fillId="0" borderId="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Alignment="1">
      <alignment horizontal="center" wrapText="1"/>
    </xf>
    <xf numFmtId="0" fontId="31" fillId="0" borderId="0" xfId="0" applyFont="1" applyFill="1" applyBorder="1" applyAlignment="1">
      <alignment horizontal="center" vertical="center" wrapText="1"/>
    </xf>
    <xf numFmtId="3" fontId="20" fillId="0" borderId="6" xfId="0" applyNumberFormat="1" applyFont="1" applyFill="1" applyBorder="1" applyAlignment="1">
      <alignment horizontal="center" vertical="center" wrapText="1"/>
    </xf>
    <xf numFmtId="3" fontId="20" fillId="0" borderId="8" xfId="0" applyNumberFormat="1" applyFont="1" applyFill="1" applyBorder="1" applyAlignment="1">
      <alignment horizontal="center" vertical="center" wrapText="1"/>
    </xf>
    <xf numFmtId="3" fontId="20" fillId="0" borderId="10"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39" applyFont="1" applyFill="1" applyBorder="1" applyAlignment="1">
      <alignment horizontal="center" vertical="center" wrapText="1"/>
    </xf>
    <xf numFmtId="0" fontId="12" fillId="0" borderId="2" xfId="0" applyFont="1" applyFill="1" applyBorder="1" applyAlignment="1">
      <alignment horizontal="center" vertical="center" wrapText="1"/>
    </xf>
    <xf numFmtId="0" fontId="25" fillId="0" borderId="0" xfId="0" applyFont="1" applyFill="1" applyAlignment="1">
      <alignment horizontal="center" vertical="center" wrapText="1"/>
    </xf>
    <xf numFmtId="0" fontId="11" fillId="0" borderId="0" xfId="0" applyFont="1" applyFill="1" applyAlignment="1">
      <alignment horizontal="center" vertical="center" wrapText="1"/>
    </xf>
    <xf numFmtId="0" fontId="13" fillId="0" borderId="0" xfId="0" applyFont="1" applyFill="1" applyAlignment="1">
      <alignment horizontal="center" vertical="center" wrapText="1"/>
    </xf>
    <xf numFmtId="0" fontId="22" fillId="0" borderId="0" xfId="0" applyFont="1" applyFill="1" applyBorder="1" applyAlignment="1">
      <alignment horizontal="right" wrapText="1"/>
    </xf>
    <xf numFmtId="0" fontId="11" fillId="0" borderId="6" xfId="39" applyFont="1" applyFill="1" applyBorder="1" applyAlignment="1">
      <alignment horizontal="center" vertical="center" wrapText="1"/>
    </xf>
    <xf numFmtId="0" fontId="11" fillId="0" borderId="8" xfId="39" applyFont="1" applyFill="1" applyBorder="1" applyAlignment="1">
      <alignment horizontal="center" vertical="center" wrapText="1"/>
    </xf>
    <xf numFmtId="0" fontId="11" fillId="0" borderId="10" xfId="39"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wrapText="1"/>
    </xf>
    <xf numFmtId="0" fontId="11" fillId="0" borderId="5" xfId="0" applyFont="1" applyFill="1" applyBorder="1" applyAlignment="1">
      <alignment horizontal="center" wrapText="1"/>
    </xf>
    <xf numFmtId="0" fontId="22" fillId="0" borderId="2" xfId="0" applyFont="1" applyFill="1" applyBorder="1" applyAlignment="1">
      <alignment horizontal="center" vertical="center" wrapText="1"/>
    </xf>
    <xf numFmtId="0" fontId="11" fillId="0" borderId="3" xfId="39" applyFont="1" applyFill="1" applyBorder="1" applyAlignment="1">
      <alignment horizontal="center" vertical="center" wrapText="1"/>
    </xf>
    <xf numFmtId="0" fontId="11" fillId="0" borderId="4" xfId="39" applyFont="1" applyFill="1" applyBorder="1" applyAlignment="1">
      <alignment horizontal="center" vertical="center" wrapText="1"/>
    </xf>
    <xf numFmtId="0" fontId="11" fillId="0" borderId="5" xfId="39"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1" fillId="0" borderId="46" xfId="0" applyFont="1" applyBorder="1" applyAlignment="1">
      <alignment horizontal="center" vertical="center" wrapText="1"/>
    </xf>
    <xf numFmtId="0" fontId="215" fillId="0" borderId="45" xfId="0" applyFont="1" applyBorder="1" applyAlignment="1">
      <alignment horizontal="center" vertical="center" wrapText="1"/>
    </xf>
    <xf numFmtId="0" fontId="215" fillId="0" borderId="49" xfId="0" applyFont="1" applyBorder="1" applyAlignment="1">
      <alignment horizontal="center" vertical="center" wrapText="1"/>
    </xf>
    <xf numFmtId="43" fontId="11" fillId="0" borderId="0" xfId="1" applyFont="1" applyAlignment="1">
      <alignment horizont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3" fillId="0" borderId="0" xfId="0" applyFont="1" applyBorder="1" applyAlignment="1">
      <alignment horizontal="center" vertical="center" wrapText="1"/>
    </xf>
    <xf numFmtId="0" fontId="214" fillId="0" borderId="0" xfId="0" applyFont="1" applyBorder="1" applyAlignment="1">
      <alignment horizontal="right" vertical="center" wrapText="1"/>
    </xf>
    <xf numFmtId="0" fontId="11" fillId="0" borderId="4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4" xfId="0" applyFont="1" applyBorder="1" applyAlignment="1">
      <alignment horizontal="center" vertical="center" wrapText="1"/>
    </xf>
    <xf numFmtId="43" fontId="215" fillId="0" borderId="6" xfId="1" applyFont="1" applyBorder="1" applyAlignment="1">
      <alignment horizontal="center" vertical="center" wrapText="1"/>
    </xf>
    <xf numFmtId="43" fontId="215" fillId="0" borderId="10" xfId="1" applyFont="1" applyBorder="1" applyAlignment="1">
      <alignment horizontal="center" vertical="center" wrapText="1"/>
    </xf>
    <xf numFmtId="0" fontId="216" fillId="0" borderId="0" xfId="0" applyFont="1"/>
    <xf numFmtId="167" fontId="216" fillId="0" borderId="0" xfId="0" applyNumberFormat="1" applyFont="1"/>
    <xf numFmtId="333" fontId="216" fillId="0" borderId="0" xfId="0" applyNumberFormat="1" applyFont="1"/>
    <xf numFmtId="179" fontId="216" fillId="0" borderId="0" xfId="0" applyNumberFormat="1" applyFont="1"/>
    <xf numFmtId="331" fontId="216" fillId="0" borderId="0" xfId="0" applyNumberFormat="1" applyFont="1"/>
  </cellXfs>
  <cellStyles count="5318">
    <cellStyle name="_x0001_" xfId="43"/>
    <cellStyle name="          &#10;&#10;shell=progman.exe&#10;&#10;m" xfId="44"/>
    <cellStyle name="          _x000d_&#10;shell=progman.exe_x000d_&#10;m" xfId="45"/>
    <cellStyle name="          _x005f_x000d__x005f_x000a_shell=progman.exe_x005f_x000d__x005f_x000a_m" xfId="46"/>
    <cellStyle name="_x000d_&#10;JournalTemplate=C:\COMFO\CTALK\JOURSTD.TPL_x000d_&#10;LbStateAddress=3 3 0 251 1 89 2 311_x000d_&#10;LbStateJou" xfId="47"/>
    <cellStyle name="#,##0" xfId="48"/>
    <cellStyle name="#,##0 2" xfId="49"/>
    <cellStyle name="#,##0 2 2" xfId="5259"/>
    <cellStyle name="#,##0 3" xfId="5258"/>
    <cellStyle name="." xfId="50"/>
    <cellStyle name=". 2" xfId="51"/>
    <cellStyle name=". 3" xfId="52"/>
    <cellStyle name=". 3 2" xfId="53"/>
    <cellStyle name=".d©y" xfId="54"/>
    <cellStyle name="??" xfId="55"/>
    <cellStyle name="?? [0.00]_ Att. 1- Cover" xfId="56"/>
    <cellStyle name="?? [0]" xfId="57"/>
    <cellStyle name="?? [0] 2" xfId="58"/>
    <cellStyle name="?? 2" xfId="59"/>
    <cellStyle name="?? 3" xfId="60"/>
    <cellStyle name="?? 4" xfId="61"/>
    <cellStyle name="?? 5" xfId="62"/>
    <cellStyle name="?? 6" xfId="63"/>
    <cellStyle name="?? 7" xfId="64"/>
    <cellStyle name="?_x001d_??%U©÷u&amp;H©÷9_x0008_? s&#10;_x0007__x0001__x0001_" xfId="65"/>
    <cellStyle name="?_x001d_??%U©÷u&amp;H©÷9_x0008_? s&#10;_x0007__x0001__x0001_ 10" xfId="66"/>
    <cellStyle name="?_x001d_??%U©÷u&amp;H©÷9_x0008_? s&#10;_x0007__x0001__x0001_ 11" xfId="67"/>
    <cellStyle name="?_x001d_??%U©÷u&amp;H©÷9_x0008_? s&#10;_x0007__x0001__x0001_ 12" xfId="68"/>
    <cellStyle name="?_x001d_??%U©÷u&amp;H©÷9_x0008_? s&#10;_x0007__x0001__x0001_ 13" xfId="69"/>
    <cellStyle name="?_x001d_??%U©÷u&amp;H©÷9_x0008_? s&#10;_x0007__x0001__x0001_ 14" xfId="70"/>
    <cellStyle name="?_x001d_??%U©÷u&amp;H©÷9_x0008_? s&#10;_x0007__x0001__x0001_ 15" xfId="71"/>
    <cellStyle name="?_x001d_??%U©÷u&amp;H©÷9_x0008_? s&#10;_x0007__x0001__x0001_ 2" xfId="72"/>
    <cellStyle name="?_x001d_??%U©÷u&amp;H©÷9_x0008_? s&#10;_x0007__x0001__x0001_ 3" xfId="73"/>
    <cellStyle name="?_x001d_??%U©÷u&amp;H©÷9_x0008_? s&#10;_x0007__x0001__x0001_ 4" xfId="74"/>
    <cellStyle name="?_x001d_??%U©÷u&amp;H©÷9_x0008_? s&#10;_x0007__x0001__x0001_ 5" xfId="75"/>
    <cellStyle name="?_x001d_??%U©÷u&amp;H©÷9_x0008_? s&#10;_x0007__x0001__x0001_ 6" xfId="76"/>
    <cellStyle name="?_x001d_??%U©÷u&amp;H©÷9_x0008_? s&#10;_x0007__x0001__x0001_ 7" xfId="77"/>
    <cellStyle name="?_x001d_??%U©÷u&amp;H©÷9_x0008_? s&#10;_x0007__x0001__x0001_ 8" xfId="78"/>
    <cellStyle name="?_x001d_??%U©÷u&amp;H©÷9_x0008_? s&#10;_x0007__x0001__x0001_ 9" xfId="79"/>
    <cellStyle name="???? [0.00]_      " xfId="80"/>
    <cellStyle name="??????" xfId="81"/>
    <cellStyle name="????_      " xfId="82"/>
    <cellStyle name="???[0]_?? DI" xfId="83"/>
    <cellStyle name="???_?? DI" xfId="84"/>
    <cellStyle name="??[0]_BRE" xfId="85"/>
    <cellStyle name="??_      " xfId="86"/>
    <cellStyle name="??A? [0]_laroux_1_¢¬???¢â? " xfId="87"/>
    <cellStyle name="??A?_laroux_1_¢¬???¢â? " xfId="88"/>
    <cellStyle name="?_x005f_x001d_??%U©÷u&amp;H©÷9_x005f_x0008_? s_x005f_x000a__x005f_x0007__x005f_x0001__x005f_x0001_" xfId="89"/>
    <cellStyle name="?_x005f_x001d_??%U©÷u&amp;H©÷9_x005f_x0008_?_x005f_x0009_s_x005f_x000a__x005f_x0007__x005f_x0001__x005f_x0001_" xfId="90"/>
    <cellStyle name="?_x005f_x005f_x005f_x001d_??%U©÷u&amp;H©÷9_x005f_x005f_x005f_x0008_? s_x005f_x005f_x005f_x000a__x005f_x005f_x005f_x0007__x005f_x005f_x005f_x0001__x005f_x005f_x005f_x0001_" xfId="91"/>
    <cellStyle name="?¡±¢¥?_?¨ù??¢´¢¥_¢¬???¢â? " xfId="92"/>
    <cellStyle name="?ðÇ%U?&amp;H?_x0008_?s&#10;_x0007__x0001__x0001_" xfId="93"/>
    <cellStyle name="?ðÇ%U?&amp;H?_x0008_?s&#10;_x0007__x0001__x0001_ 10" xfId="94"/>
    <cellStyle name="?ðÇ%U?&amp;H?_x0008_?s&#10;_x0007__x0001__x0001_ 11" xfId="95"/>
    <cellStyle name="?ðÇ%U?&amp;H?_x0008_?s&#10;_x0007__x0001__x0001_ 12" xfId="96"/>
    <cellStyle name="?ðÇ%U?&amp;H?_x0008_?s&#10;_x0007__x0001__x0001_ 13" xfId="97"/>
    <cellStyle name="?ðÇ%U?&amp;H?_x0008_?s&#10;_x0007__x0001__x0001_ 14" xfId="98"/>
    <cellStyle name="?ðÇ%U?&amp;H?_x0008_?s&#10;_x0007__x0001__x0001_ 15" xfId="99"/>
    <cellStyle name="?ðÇ%U?&amp;H?_x0008_?s&#10;_x0007__x0001__x0001_ 2" xfId="100"/>
    <cellStyle name="?ðÇ%U?&amp;H?_x0008_?s&#10;_x0007__x0001__x0001_ 3" xfId="101"/>
    <cellStyle name="?ðÇ%U?&amp;H?_x0008_?s&#10;_x0007__x0001__x0001_ 4" xfId="102"/>
    <cellStyle name="?ðÇ%U?&amp;H?_x0008_?s&#10;_x0007__x0001__x0001_ 5" xfId="103"/>
    <cellStyle name="?ðÇ%U?&amp;H?_x0008_?s&#10;_x0007__x0001__x0001_ 6" xfId="104"/>
    <cellStyle name="?ðÇ%U?&amp;H?_x0008_?s&#10;_x0007__x0001__x0001_ 7" xfId="105"/>
    <cellStyle name="?ðÇ%U?&amp;H?_x0008_?s&#10;_x0007__x0001__x0001_ 8" xfId="106"/>
    <cellStyle name="?ðÇ%U?&amp;H?_x0008_?s&#10;_x0007__x0001__x0001_ 9" xfId="107"/>
    <cellStyle name="?ðÇ%U?&amp;H?_x005f_x0008_?s_x005f_x000a__x005f_x0007__x005f_x0001__x005f_x0001_" xfId="108"/>
    <cellStyle name="@ET_Style?.font5" xfId="109"/>
    <cellStyle name="[0]_Chi phÝ kh¸c_V" xfId="110"/>
    <cellStyle name="_!1 1 bao cao giao KH ve HTCMT vung TNB   12-12-2011" xfId="111"/>
    <cellStyle name="_x0001__!1 1 bao cao giao KH ve HTCMT vung TNB   12-12-2011" xfId="112"/>
    <cellStyle name="_1 TONG HOP - CA NA" xfId="113"/>
    <cellStyle name="_123_DONG_THANH_Moi" xfId="114"/>
    <cellStyle name="_123_DONG_THANH_Moi_!1 1 bao cao giao KH ve HTCMT vung TNB   12-12-2011" xfId="115"/>
    <cellStyle name="_123_DONG_THANH_Moi_KH TPCP vung TNB (03-1-2012)" xfId="116"/>
    <cellStyle name="_Bang Chi tieu (2)" xfId="117"/>
    <cellStyle name="_BAO GIA NGAY 24-10-08 (co dam)" xfId="118"/>
    <cellStyle name="_BC  NAM 2007" xfId="119"/>
    <cellStyle name="_BC CV 6403 BKHĐT" xfId="120"/>
    <cellStyle name="_BC thuc hien KH 2009" xfId="121"/>
    <cellStyle name="_BC thuc hien KH 2009_15_10_2013 BC nhu cau von doi ung ODA (2014-2016) ngay 15102013 Sua" xfId="122"/>
    <cellStyle name="_BC thuc hien KH 2009_BC nhu cau von doi ung ODA nganh NN (BKH)" xfId="123"/>
    <cellStyle name="_BC thuc hien KH 2009_BC nhu cau von doi ung ODA nganh NN (BKH)_05-12  KH trung han 2016-2020 - Liem Thinh edited" xfId="124"/>
    <cellStyle name="_BC thuc hien KH 2009_BC nhu cau von doi ung ODA nganh NN (BKH)_Copy of 05-12  KH trung han 2016-2020 - Liem Thinh edited (1)" xfId="125"/>
    <cellStyle name="_BC thuc hien KH 2009_BC Tai co cau (bieu TH)" xfId="126"/>
    <cellStyle name="_BC thuc hien KH 2009_BC Tai co cau (bieu TH)_05-12  KH trung han 2016-2020 - Liem Thinh edited" xfId="127"/>
    <cellStyle name="_BC thuc hien KH 2009_BC Tai co cau (bieu TH)_Copy of 05-12  KH trung han 2016-2020 - Liem Thinh edited (1)" xfId="128"/>
    <cellStyle name="_BC thuc hien KH 2009_DK 2014-2015 final" xfId="129"/>
    <cellStyle name="_BC thuc hien KH 2009_DK 2014-2015 final_05-12  KH trung han 2016-2020 - Liem Thinh edited" xfId="130"/>
    <cellStyle name="_BC thuc hien KH 2009_DK 2014-2015 final_Copy of 05-12  KH trung han 2016-2020 - Liem Thinh edited (1)" xfId="131"/>
    <cellStyle name="_BC thuc hien KH 2009_DK 2014-2015 new" xfId="132"/>
    <cellStyle name="_BC thuc hien KH 2009_DK 2014-2015 new_05-12  KH trung han 2016-2020 - Liem Thinh edited" xfId="133"/>
    <cellStyle name="_BC thuc hien KH 2009_DK 2014-2015 new_Copy of 05-12  KH trung han 2016-2020 - Liem Thinh edited (1)" xfId="134"/>
    <cellStyle name="_BC thuc hien KH 2009_DK KH CBDT 2014 11-11-2013" xfId="135"/>
    <cellStyle name="_BC thuc hien KH 2009_DK KH CBDT 2014 11-11-2013(1)" xfId="136"/>
    <cellStyle name="_BC thuc hien KH 2009_DK KH CBDT 2014 11-11-2013(1)_05-12  KH trung han 2016-2020 - Liem Thinh edited" xfId="137"/>
    <cellStyle name="_BC thuc hien KH 2009_DK KH CBDT 2014 11-11-2013(1)_Copy of 05-12  KH trung han 2016-2020 - Liem Thinh edited (1)" xfId="138"/>
    <cellStyle name="_BC thuc hien KH 2009_DK KH CBDT 2014 11-11-2013_05-12  KH trung han 2016-2020 - Liem Thinh edited" xfId="139"/>
    <cellStyle name="_BC thuc hien KH 2009_DK KH CBDT 2014 11-11-2013_Copy of 05-12  KH trung han 2016-2020 - Liem Thinh edited (1)" xfId="140"/>
    <cellStyle name="_BC thuc hien KH 2009_KH 2011-2015" xfId="141"/>
    <cellStyle name="_BC thuc hien KH 2009_tai co cau dau tu (tong hop)1" xfId="142"/>
    <cellStyle name="_BEN TRE" xfId="143"/>
    <cellStyle name="_Bieu mau cong trinh khoi cong moi 3-4" xfId="144"/>
    <cellStyle name="_Bieu Tay Nam Bo 25-11" xfId="145"/>
    <cellStyle name="_Bieu3ODA" xfId="146"/>
    <cellStyle name="_Bieu3ODA_1" xfId="147"/>
    <cellStyle name="_Bieu4HTMT" xfId="148"/>
    <cellStyle name="_Bieu4HTMT_!1 1 bao cao giao KH ve HTCMT vung TNB   12-12-2011" xfId="149"/>
    <cellStyle name="_Bieu4HTMT_KH TPCP vung TNB (03-1-2012)" xfId="150"/>
    <cellStyle name="_Book1" xfId="151"/>
    <cellStyle name="_Book1 2" xfId="152"/>
    <cellStyle name="_Book1_!1 1 bao cao giao KH ve HTCMT vung TNB   12-12-2011" xfId="153"/>
    <cellStyle name="_Book1_1" xfId="154"/>
    <cellStyle name="_Book1_2" xfId="155"/>
    <cellStyle name="_Book1_BC-QT-WB-dthao" xfId="156"/>
    <cellStyle name="_Book1_BC-QT-WB-dthao_05-12  KH trung han 2016-2020 - Liem Thinh edited" xfId="157"/>
    <cellStyle name="_Book1_BC-QT-WB-dthao_Copy of 05-12  KH trung han 2016-2020 - Liem Thinh edited (1)" xfId="158"/>
    <cellStyle name="_Book1_BC-QT-WB-dthao_KH TPCP 2016-2020 (tong hop)" xfId="159"/>
    <cellStyle name="_Book1_Bieu3ODA" xfId="160"/>
    <cellStyle name="_Book1_Bieu4HTMT" xfId="161"/>
    <cellStyle name="_Book1_Bieu4HTMT_!1 1 bao cao giao KH ve HTCMT vung TNB   12-12-2011" xfId="162"/>
    <cellStyle name="_Book1_Bieu4HTMT_KH TPCP vung TNB (03-1-2012)" xfId="163"/>
    <cellStyle name="_Book1_bo sung von KCH nam 2010 va Du an tre kho khan" xfId="164"/>
    <cellStyle name="_Book1_bo sung von KCH nam 2010 va Du an tre kho khan_!1 1 bao cao giao KH ve HTCMT vung TNB   12-12-2011" xfId="165"/>
    <cellStyle name="_Book1_bo sung von KCH nam 2010 va Du an tre kho khan_KH TPCP vung TNB (03-1-2012)" xfId="166"/>
    <cellStyle name="_Book1_cong hang rao" xfId="167"/>
    <cellStyle name="_Book1_cong hang rao_!1 1 bao cao giao KH ve HTCMT vung TNB   12-12-2011" xfId="168"/>
    <cellStyle name="_Book1_cong hang rao_KH TPCP vung TNB (03-1-2012)" xfId="169"/>
    <cellStyle name="_Book1_danh muc chuan bi dau tu 2011 ngay 07-6-2011" xfId="170"/>
    <cellStyle name="_Book1_danh muc chuan bi dau tu 2011 ngay 07-6-2011_!1 1 bao cao giao KH ve HTCMT vung TNB   12-12-2011" xfId="171"/>
    <cellStyle name="_Book1_danh muc chuan bi dau tu 2011 ngay 07-6-2011_KH TPCP vung TNB (03-1-2012)" xfId="172"/>
    <cellStyle name="_Book1_Danh muc pbo nguon von XSKT, XDCB nam 2009 chuyen qua nam 2010" xfId="173"/>
    <cellStyle name="_Book1_Danh muc pbo nguon von XSKT, XDCB nam 2009 chuyen qua nam 2010_!1 1 bao cao giao KH ve HTCMT vung TNB   12-12-2011" xfId="174"/>
    <cellStyle name="_Book1_Danh muc pbo nguon von XSKT, XDCB nam 2009 chuyen qua nam 2010_KH TPCP vung TNB (03-1-2012)" xfId="175"/>
    <cellStyle name="_Book1_dieu chinh KH 2011 ngay 26-5-2011111" xfId="176"/>
    <cellStyle name="_Book1_dieu chinh KH 2011 ngay 26-5-2011111_!1 1 bao cao giao KH ve HTCMT vung TNB   12-12-2011" xfId="177"/>
    <cellStyle name="_Book1_dieu chinh KH 2011 ngay 26-5-2011111_KH TPCP vung TNB (03-1-2012)" xfId="178"/>
    <cellStyle name="_Book1_DS KCH PHAN BO VON NSDP NAM 2010" xfId="179"/>
    <cellStyle name="_Book1_DS KCH PHAN BO VON NSDP NAM 2010_!1 1 bao cao giao KH ve HTCMT vung TNB   12-12-2011" xfId="180"/>
    <cellStyle name="_Book1_DS KCH PHAN BO VON NSDP NAM 2010_KH TPCP vung TNB (03-1-2012)" xfId="181"/>
    <cellStyle name="_Book1_giao KH 2011 ngay 10-12-2010" xfId="182"/>
    <cellStyle name="_Book1_giao KH 2011 ngay 10-12-2010_!1 1 bao cao giao KH ve HTCMT vung TNB   12-12-2011" xfId="183"/>
    <cellStyle name="_Book1_giao KH 2011 ngay 10-12-2010_KH TPCP vung TNB (03-1-2012)" xfId="184"/>
    <cellStyle name="_Book1_IN" xfId="185"/>
    <cellStyle name="_Book1_Kh ql62 (2010) 11-09" xfId="186"/>
    <cellStyle name="_Book1_KH TPCP vung TNB (03-1-2012)" xfId="187"/>
    <cellStyle name="_Book1_Khung 2012" xfId="188"/>
    <cellStyle name="_Book1_kien giang 2" xfId="189"/>
    <cellStyle name="_Book1_phu luc tong ket tinh hinh TH giai doan 03-10 (ngay 30)" xfId="190"/>
    <cellStyle name="_Book1_phu luc tong ket tinh hinh TH giai doan 03-10 (ngay 30)_!1 1 bao cao giao KH ve HTCMT vung TNB   12-12-2011" xfId="191"/>
    <cellStyle name="_Book1_phu luc tong ket tinh hinh TH giai doan 03-10 (ngay 30)_KH TPCP vung TNB (03-1-2012)" xfId="192"/>
    <cellStyle name="_C.cong+B.luong-Sanluong" xfId="193"/>
    <cellStyle name="_cong hang rao" xfId="194"/>
    <cellStyle name="_dien chieu sang" xfId="195"/>
    <cellStyle name="_DK KH 2009" xfId="196"/>
    <cellStyle name="_DK KH 2009_15_10_2013 BC nhu cau von doi ung ODA (2014-2016) ngay 15102013 Sua" xfId="197"/>
    <cellStyle name="_DK KH 2009_BC nhu cau von doi ung ODA nganh NN (BKH)" xfId="198"/>
    <cellStyle name="_DK KH 2009_BC nhu cau von doi ung ODA nganh NN (BKH)_05-12  KH trung han 2016-2020 - Liem Thinh edited" xfId="199"/>
    <cellStyle name="_DK KH 2009_BC nhu cau von doi ung ODA nganh NN (BKH)_Copy of 05-12  KH trung han 2016-2020 - Liem Thinh edited (1)" xfId="200"/>
    <cellStyle name="_DK KH 2009_BC Tai co cau (bieu TH)" xfId="201"/>
    <cellStyle name="_DK KH 2009_BC Tai co cau (bieu TH)_05-12  KH trung han 2016-2020 - Liem Thinh edited" xfId="202"/>
    <cellStyle name="_DK KH 2009_BC Tai co cau (bieu TH)_Copy of 05-12  KH trung han 2016-2020 - Liem Thinh edited (1)" xfId="203"/>
    <cellStyle name="_DK KH 2009_DK 2014-2015 final" xfId="204"/>
    <cellStyle name="_DK KH 2009_DK 2014-2015 final_05-12  KH trung han 2016-2020 - Liem Thinh edited" xfId="205"/>
    <cellStyle name="_DK KH 2009_DK 2014-2015 final_Copy of 05-12  KH trung han 2016-2020 - Liem Thinh edited (1)" xfId="206"/>
    <cellStyle name="_DK KH 2009_DK 2014-2015 new" xfId="207"/>
    <cellStyle name="_DK KH 2009_DK 2014-2015 new_05-12  KH trung han 2016-2020 - Liem Thinh edited" xfId="208"/>
    <cellStyle name="_DK KH 2009_DK 2014-2015 new_Copy of 05-12  KH trung han 2016-2020 - Liem Thinh edited (1)" xfId="209"/>
    <cellStyle name="_DK KH 2009_DK KH CBDT 2014 11-11-2013" xfId="210"/>
    <cellStyle name="_DK KH 2009_DK KH CBDT 2014 11-11-2013(1)" xfId="211"/>
    <cellStyle name="_DK KH 2009_DK KH CBDT 2014 11-11-2013(1)_05-12  KH trung han 2016-2020 - Liem Thinh edited" xfId="212"/>
    <cellStyle name="_DK KH 2009_DK KH CBDT 2014 11-11-2013(1)_Copy of 05-12  KH trung han 2016-2020 - Liem Thinh edited (1)" xfId="213"/>
    <cellStyle name="_DK KH 2009_DK KH CBDT 2014 11-11-2013_05-12  KH trung han 2016-2020 - Liem Thinh edited" xfId="214"/>
    <cellStyle name="_DK KH 2009_DK KH CBDT 2014 11-11-2013_Copy of 05-12  KH trung han 2016-2020 - Liem Thinh edited (1)" xfId="215"/>
    <cellStyle name="_DK KH 2009_KH 2011-2015" xfId="216"/>
    <cellStyle name="_DK KH 2009_tai co cau dau tu (tong hop)1" xfId="217"/>
    <cellStyle name="_DK KH 2010" xfId="218"/>
    <cellStyle name="_DK KH 2010 (BKH)" xfId="219"/>
    <cellStyle name="_DK KH 2010_15_10_2013 BC nhu cau von doi ung ODA (2014-2016) ngay 15102013 Sua" xfId="220"/>
    <cellStyle name="_DK KH 2010_BC nhu cau von doi ung ODA nganh NN (BKH)" xfId="221"/>
    <cellStyle name="_DK KH 2010_BC nhu cau von doi ung ODA nganh NN (BKH)_05-12  KH trung han 2016-2020 - Liem Thinh edited" xfId="222"/>
    <cellStyle name="_DK KH 2010_BC nhu cau von doi ung ODA nganh NN (BKH)_Copy of 05-12  KH trung han 2016-2020 - Liem Thinh edited (1)" xfId="223"/>
    <cellStyle name="_DK KH 2010_BC Tai co cau (bieu TH)" xfId="224"/>
    <cellStyle name="_DK KH 2010_BC Tai co cau (bieu TH)_05-12  KH trung han 2016-2020 - Liem Thinh edited" xfId="225"/>
    <cellStyle name="_DK KH 2010_BC Tai co cau (bieu TH)_Copy of 05-12  KH trung han 2016-2020 - Liem Thinh edited (1)" xfId="226"/>
    <cellStyle name="_DK KH 2010_DK 2014-2015 final" xfId="227"/>
    <cellStyle name="_DK KH 2010_DK 2014-2015 final_05-12  KH trung han 2016-2020 - Liem Thinh edited" xfId="228"/>
    <cellStyle name="_DK KH 2010_DK 2014-2015 final_Copy of 05-12  KH trung han 2016-2020 - Liem Thinh edited (1)" xfId="229"/>
    <cellStyle name="_DK KH 2010_DK 2014-2015 new" xfId="230"/>
    <cellStyle name="_DK KH 2010_DK 2014-2015 new_05-12  KH trung han 2016-2020 - Liem Thinh edited" xfId="231"/>
    <cellStyle name="_DK KH 2010_DK 2014-2015 new_Copy of 05-12  KH trung han 2016-2020 - Liem Thinh edited (1)" xfId="232"/>
    <cellStyle name="_DK KH 2010_DK KH CBDT 2014 11-11-2013" xfId="233"/>
    <cellStyle name="_DK KH 2010_DK KH CBDT 2014 11-11-2013(1)" xfId="234"/>
    <cellStyle name="_DK KH 2010_DK KH CBDT 2014 11-11-2013(1)_05-12  KH trung han 2016-2020 - Liem Thinh edited" xfId="235"/>
    <cellStyle name="_DK KH 2010_DK KH CBDT 2014 11-11-2013(1)_Copy of 05-12  KH trung han 2016-2020 - Liem Thinh edited (1)" xfId="236"/>
    <cellStyle name="_DK KH 2010_DK KH CBDT 2014 11-11-2013_05-12  KH trung han 2016-2020 - Liem Thinh edited" xfId="237"/>
    <cellStyle name="_DK KH 2010_DK KH CBDT 2014 11-11-2013_Copy of 05-12  KH trung han 2016-2020 - Liem Thinh edited (1)" xfId="238"/>
    <cellStyle name="_DK KH 2010_KH 2011-2015" xfId="239"/>
    <cellStyle name="_DK KH 2010_tai co cau dau tu (tong hop)1" xfId="240"/>
    <cellStyle name="_DK TPCP 2010" xfId="241"/>
    <cellStyle name="_DO-D1500-KHONG CO TRONG DT" xfId="242"/>
    <cellStyle name="_Dong Thap" xfId="243"/>
    <cellStyle name="_Duyet TK thay đôi" xfId="244"/>
    <cellStyle name="_Duyet TK thay đôi_!1 1 bao cao giao KH ve HTCMT vung TNB   12-12-2011" xfId="245"/>
    <cellStyle name="_Duyet TK thay đôi_Bieu4HTMT" xfId="246"/>
    <cellStyle name="_Duyet TK thay đôi_Bieu4HTMT_!1 1 bao cao giao KH ve HTCMT vung TNB   12-12-2011" xfId="247"/>
    <cellStyle name="_Duyet TK thay đôi_Bieu4HTMT_KH TPCP vung TNB (03-1-2012)" xfId="248"/>
    <cellStyle name="_Duyet TK thay đôi_KH TPCP vung TNB (03-1-2012)" xfId="249"/>
    <cellStyle name="_GOITHAUSO2" xfId="250"/>
    <cellStyle name="_GOITHAUSO3" xfId="251"/>
    <cellStyle name="_GOITHAUSO4" xfId="252"/>
    <cellStyle name="_GTGT 2003" xfId="253"/>
    <cellStyle name="_Gui VU KH 5-5-09" xfId="254"/>
    <cellStyle name="_Gui VU KH 5-5-09_05-12  KH trung han 2016-2020 - Liem Thinh edited" xfId="255"/>
    <cellStyle name="_Gui VU KH 5-5-09_Copy of 05-12  KH trung han 2016-2020 - Liem Thinh edited (1)" xfId="256"/>
    <cellStyle name="_Gui VU KH 5-5-09_KH TPCP 2016-2020 (tong hop)" xfId="257"/>
    <cellStyle name="_HaHoa_TDT_DienCSang" xfId="258"/>
    <cellStyle name="_HaHoa19-5-07" xfId="259"/>
    <cellStyle name="_Huong CHI tieu Nhiem vu CTMTQG 2014(1)" xfId="260"/>
    <cellStyle name="_IN" xfId="261"/>
    <cellStyle name="_IN_!1 1 bao cao giao KH ve HTCMT vung TNB   12-12-2011" xfId="262"/>
    <cellStyle name="_IN_KH TPCP vung TNB (03-1-2012)" xfId="263"/>
    <cellStyle name="_KE KHAI THUE GTGT 2004" xfId="264"/>
    <cellStyle name="_KE KHAI THUE GTGT 2004_BCTC2004" xfId="265"/>
    <cellStyle name="_KH 2009" xfId="266"/>
    <cellStyle name="_KH 2009_15_10_2013 BC nhu cau von doi ung ODA (2014-2016) ngay 15102013 Sua" xfId="267"/>
    <cellStyle name="_KH 2009_BC nhu cau von doi ung ODA nganh NN (BKH)" xfId="268"/>
    <cellStyle name="_KH 2009_BC nhu cau von doi ung ODA nganh NN (BKH)_05-12  KH trung han 2016-2020 - Liem Thinh edited" xfId="269"/>
    <cellStyle name="_KH 2009_BC nhu cau von doi ung ODA nganh NN (BKH)_Copy of 05-12  KH trung han 2016-2020 - Liem Thinh edited (1)" xfId="270"/>
    <cellStyle name="_KH 2009_BC Tai co cau (bieu TH)" xfId="271"/>
    <cellStyle name="_KH 2009_BC Tai co cau (bieu TH)_05-12  KH trung han 2016-2020 - Liem Thinh edited" xfId="272"/>
    <cellStyle name="_KH 2009_BC Tai co cau (bieu TH)_Copy of 05-12  KH trung han 2016-2020 - Liem Thinh edited (1)" xfId="273"/>
    <cellStyle name="_KH 2009_DK 2014-2015 final" xfId="274"/>
    <cellStyle name="_KH 2009_DK 2014-2015 final_05-12  KH trung han 2016-2020 - Liem Thinh edited" xfId="275"/>
    <cellStyle name="_KH 2009_DK 2014-2015 final_Copy of 05-12  KH trung han 2016-2020 - Liem Thinh edited (1)" xfId="276"/>
    <cellStyle name="_KH 2009_DK 2014-2015 new" xfId="277"/>
    <cellStyle name="_KH 2009_DK 2014-2015 new_05-12  KH trung han 2016-2020 - Liem Thinh edited" xfId="278"/>
    <cellStyle name="_KH 2009_DK 2014-2015 new_Copy of 05-12  KH trung han 2016-2020 - Liem Thinh edited (1)" xfId="279"/>
    <cellStyle name="_KH 2009_DK KH CBDT 2014 11-11-2013" xfId="280"/>
    <cellStyle name="_KH 2009_DK KH CBDT 2014 11-11-2013(1)" xfId="281"/>
    <cellStyle name="_KH 2009_DK KH CBDT 2014 11-11-2013(1)_05-12  KH trung han 2016-2020 - Liem Thinh edited" xfId="282"/>
    <cellStyle name="_KH 2009_DK KH CBDT 2014 11-11-2013(1)_Copy of 05-12  KH trung han 2016-2020 - Liem Thinh edited (1)" xfId="283"/>
    <cellStyle name="_KH 2009_DK KH CBDT 2014 11-11-2013_05-12  KH trung han 2016-2020 - Liem Thinh edited" xfId="284"/>
    <cellStyle name="_KH 2009_DK KH CBDT 2014 11-11-2013_Copy of 05-12  KH trung han 2016-2020 - Liem Thinh edited (1)" xfId="285"/>
    <cellStyle name="_KH 2009_KH 2011-2015" xfId="286"/>
    <cellStyle name="_KH 2009_tai co cau dau tu (tong hop)1" xfId="287"/>
    <cellStyle name="_KH 2012 (TPCP) Bac Lieu (25-12-2011)" xfId="288"/>
    <cellStyle name="_Kh ql62 (2010) 11-09" xfId="289"/>
    <cellStyle name="_KH TPCP 2010 17-3-10" xfId="290"/>
    <cellStyle name="_KH TPCP vung TNB (03-1-2012)" xfId="291"/>
    <cellStyle name="_KH ung von cap bach 2009-Cuc NTTS de nghi (sua)" xfId="292"/>
    <cellStyle name="_KH.DTC.gd2016-2020 tinh (T2-2015)" xfId="293"/>
    <cellStyle name="_Khung 2012" xfId="294"/>
    <cellStyle name="_Khung nam 2010" xfId="295"/>
    <cellStyle name="_x0001__kien giang 2" xfId="296"/>
    <cellStyle name="_KT (2)" xfId="297"/>
    <cellStyle name="_KT (2) 2" xfId="298"/>
    <cellStyle name="_KT (2)_05-12  KH trung han 2016-2020 - Liem Thinh edited" xfId="299"/>
    <cellStyle name="_KT (2)_1" xfId="300"/>
    <cellStyle name="_KT (2)_1 2" xfId="301"/>
    <cellStyle name="_KT (2)_1_05-12  KH trung han 2016-2020 - Liem Thinh edited" xfId="302"/>
    <cellStyle name="_KT (2)_1_Copy of 05-12  KH trung han 2016-2020 - Liem Thinh edited (1)" xfId="303"/>
    <cellStyle name="_KT (2)_1_KH TPCP 2016-2020 (tong hop)" xfId="304"/>
    <cellStyle name="_KT (2)_1_Lora-tungchau" xfId="305"/>
    <cellStyle name="_KT (2)_1_Lora-tungchau 2" xfId="306"/>
    <cellStyle name="_KT (2)_1_Lora-tungchau_05-12  KH trung han 2016-2020 - Liem Thinh edited" xfId="307"/>
    <cellStyle name="_KT (2)_1_Lora-tungchau_Copy of 05-12  KH trung han 2016-2020 - Liem Thinh edited (1)" xfId="308"/>
    <cellStyle name="_KT (2)_1_Lora-tungchau_KH TPCP 2016-2020 (tong hop)" xfId="309"/>
    <cellStyle name="_KT (2)_1_Qt-HT3PQ1(CauKho)" xfId="310"/>
    <cellStyle name="_KT (2)_2" xfId="311"/>
    <cellStyle name="_KT (2)_2_TG-TH" xfId="312"/>
    <cellStyle name="_KT (2)_2_TG-TH 2" xfId="313"/>
    <cellStyle name="_KT (2)_2_TG-TH_05-12  KH trung han 2016-2020 - Liem Thinh edited" xfId="314"/>
    <cellStyle name="_KT (2)_2_TG-TH_ApGiaVatTu_cayxanh_latgach" xfId="315"/>
    <cellStyle name="_KT (2)_2_TG-TH_BANG TONG HOP TINH HINH THANH QUYET TOAN (MOI I)" xfId="316"/>
    <cellStyle name="_KT (2)_2_TG-TH_BAO CAO KLCT PT2000" xfId="317"/>
    <cellStyle name="_KT (2)_2_TG-TH_BAO CAO PT2000" xfId="318"/>
    <cellStyle name="_KT (2)_2_TG-TH_BAO CAO PT2000_Book1" xfId="319"/>
    <cellStyle name="_KT (2)_2_TG-TH_Bao cao XDCB 2001 - T11 KH dieu chinh 20-11-THAI" xfId="320"/>
    <cellStyle name="_KT (2)_2_TG-TH_BAO GIA NGAY 24-10-08 (co dam)" xfId="321"/>
    <cellStyle name="_KT (2)_2_TG-TH_BC  NAM 2007" xfId="322"/>
    <cellStyle name="_KT (2)_2_TG-TH_BC CV 6403 BKHĐT" xfId="323"/>
    <cellStyle name="_KT (2)_2_TG-TH_BC NQ11-CP - chinh sua lai" xfId="324"/>
    <cellStyle name="_KT (2)_2_TG-TH_BC NQ11-CP-Quynh sau bieu so3" xfId="325"/>
    <cellStyle name="_KT (2)_2_TG-TH_BC_NQ11-CP_-_Thao_sua_lai" xfId="326"/>
    <cellStyle name="_KT (2)_2_TG-TH_Bieu mau cong trinh khoi cong moi 3-4" xfId="327"/>
    <cellStyle name="_KT (2)_2_TG-TH_Bieu3ODA" xfId="328"/>
    <cellStyle name="_KT (2)_2_TG-TH_Bieu3ODA_1" xfId="329"/>
    <cellStyle name="_KT (2)_2_TG-TH_Bieu4HTMT" xfId="330"/>
    <cellStyle name="_KT (2)_2_TG-TH_bo sung von KCH nam 2010 va Du an tre kho khan" xfId="331"/>
    <cellStyle name="_KT (2)_2_TG-TH_Book1" xfId="332"/>
    <cellStyle name="_KT (2)_2_TG-TH_Book1 2" xfId="333"/>
    <cellStyle name="_KT (2)_2_TG-TH_Book1_1" xfId="334"/>
    <cellStyle name="_KT (2)_2_TG-TH_Book1_1 2" xfId="335"/>
    <cellStyle name="_KT (2)_2_TG-TH_Book1_1_BC CV 6403 BKHĐT" xfId="336"/>
    <cellStyle name="_KT (2)_2_TG-TH_Book1_1_Bieu mau cong trinh khoi cong moi 3-4" xfId="337"/>
    <cellStyle name="_KT (2)_2_TG-TH_Book1_1_Bieu3ODA" xfId="338"/>
    <cellStyle name="_KT (2)_2_TG-TH_Book1_1_Bieu4HTMT" xfId="339"/>
    <cellStyle name="_KT (2)_2_TG-TH_Book1_1_Book1" xfId="340"/>
    <cellStyle name="_KT (2)_2_TG-TH_Book1_1_Luy ke von ung nam 2011 -Thoa gui ngay 12-8-2012" xfId="341"/>
    <cellStyle name="_KT (2)_2_TG-TH_Book1_2" xfId="342"/>
    <cellStyle name="_KT (2)_2_TG-TH_Book1_2 2" xfId="343"/>
    <cellStyle name="_KT (2)_2_TG-TH_Book1_2_BC CV 6403 BKHĐT" xfId="344"/>
    <cellStyle name="_KT (2)_2_TG-TH_Book1_2_Bieu3ODA" xfId="345"/>
    <cellStyle name="_KT (2)_2_TG-TH_Book1_2_Luy ke von ung nam 2011 -Thoa gui ngay 12-8-2012" xfId="346"/>
    <cellStyle name="_KT (2)_2_TG-TH_Book1_3" xfId="347"/>
    <cellStyle name="_KT (2)_2_TG-TH_Book1_3 2" xfId="348"/>
    <cellStyle name="_KT (2)_2_TG-TH_Book1_4" xfId="349"/>
    <cellStyle name="_KT (2)_2_TG-TH_Book1_BC CV 6403 BKHĐT" xfId="350"/>
    <cellStyle name="_KT (2)_2_TG-TH_Book1_Bieu mau cong trinh khoi cong moi 3-4" xfId="351"/>
    <cellStyle name="_KT (2)_2_TG-TH_Book1_Bieu3ODA" xfId="352"/>
    <cellStyle name="_KT (2)_2_TG-TH_Book1_Bieu4HTMT" xfId="353"/>
    <cellStyle name="_KT (2)_2_TG-TH_Book1_bo sung von KCH nam 2010 va Du an tre kho khan" xfId="354"/>
    <cellStyle name="_KT (2)_2_TG-TH_Book1_Book1" xfId="355"/>
    <cellStyle name="_KT (2)_2_TG-TH_Book1_danh muc chuan bi dau tu 2011 ngay 07-6-2011" xfId="356"/>
    <cellStyle name="_KT (2)_2_TG-TH_Book1_Danh muc pbo nguon von XSKT, XDCB nam 2009 chuyen qua nam 2010" xfId="357"/>
    <cellStyle name="_KT (2)_2_TG-TH_Book1_dieu chinh KH 2011 ngay 26-5-2011111" xfId="358"/>
    <cellStyle name="_KT (2)_2_TG-TH_Book1_DS KCH PHAN BO VON NSDP NAM 2010" xfId="359"/>
    <cellStyle name="_KT (2)_2_TG-TH_Book1_giao KH 2011 ngay 10-12-2010" xfId="360"/>
    <cellStyle name="_KT (2)_2_TG-TH_Book1_Luy ke von ung nam 2011 -Thoa gui ngay 12-8-2012" xfId="361"/>
    <cellStyle name="_KT (2)_2_TG-TH_CAU Khanh Nam(Thi Cong)" xfId="362"/>
    <cellStyle name="_KT (2)_2_TG-TH_ChiHuong_ApGia" xfId="363"/>
    <cellStyle name="_KT (2)_2_TG-TH_CoCauPhi (version 1)" xfId="364"/>
    <cellStyle name="_KT (2)_2_TG-TH_Copy of 05-12  KH trung han 2016-2020 - Liem Thinh edited (1)" xfId="365"/>
    <cellStyle name="_KT (2)_2_TG-TH_danh muc chuan bi dau tu 2011 ngay 07-6-2011" xfId="366"/>
    <cellStyle name="_KT (2)_2_TG-TH_Danh muc pbo nguon von XSKT, XDCB nam 2009 chuyen qua nam 2010" xfId="367"/>
    <cellStyle name="_KT (2)_2_TG-TH_DAU NOI PL-CL TAI PHU LAMHC" xfId="368"/>
    <cellStyle name="_KT (2)_2_TG-TH_dieu chinh KH 2011 ngay 26-5-2011111" xfId="369"/>
    <cellStyle name="_KT (2)_2_TG-TH_DS KCH PHAN BO VON NSDP NAM 2010" xfId="370"/>
    <cellStyle name="_KT (2)_2_TG-TH_DTCDT MR.2N110.HOCMON.TDTOAN.CCUNG" xfId="371"/>
    <cellStyle name="_KT (2)_2_TG-TH_DU TRU VAT TU" xfId="372"/>
    <cellStyle name="_KT (2)_2_TG-TH_giao KH 2011 ngay 10-12-2010" xfId="373"/>
    <cellStyle name="_KT (2)_2_TG-TH_GTGT 2003" xfId="374"/>
    <cellStyle name="_KT (2)_2_TG-TH_KE KHAI THUE GTGT 2004" xfId="375"/>
    <cellStyle name="_KT (2)_2_TG-TH_KE KHAI THUE GTGT 2004_BCTC2004" xfId="376"/>
    <cellStyle name="_KT (2)_2_TG-TH_KH TPCP 2016-2020 (tong hop)" xfId="377"/>
    <cellStyle name="_KT (2)_2_TG-TH_KH TPCP vung TNB (03-1-2012)" xfId="378"/>
    <cellStyle name="_KT (2)_2_TG-TH_kien giang 2" xfId="379"/>
    <cellStyle name="_KT (2)_2_TG-TH_Lora-tungchau" xfId="380"/>
    <cellStyle name="_KT (2)_2_TG-TH_Luy ke von ung nam 2011 -Thoa gui ngay 12-8-2012" xfId="381"/>
    <cellStyle name="_KT (2)_2_TG-TH_NhanCong" xfId="382"/>
    <cellStyle name="_KT (2)_2_TG-TH_N-X-T-04" xfId="383"/>
    <cellStyle name="_KT (2)_2_TG-TH_PGIA-phieu tham tra Kho bac" xfId="384"/>
    <cellStyle name="_KT (2)_2_TG-TH_phu luc tong ket tinh hinh TH giai doan 03-10 (ngay 30)" xfId="385"/>
    <cellStyle name="_KT (2)_2_TG-TH_PT02-02" xfId="386"/>
    <cellStyle name="_KT (2)_2_TG-TH_PT02-02_Book1" xfId="387"/>
    <cellStyle name="_KT (2)_2_TG-TH_PT02-03" xfId="388"/>
    <cellStyle name="_KT (2)_2_TG-TH_PT02-03_Book1" xfId="389"/>
    <cellStyle name="_KT (2)_2_TG-TH_Qt-HT3PQ1(CauKho)" xfId="390"/>
    <cellStyle name="_KT (2)_2_TG-TH_Sheet1" xfId="391"/>
    <cellStyle name="_KT (2)_2_TG-TH_TK152-04" xfId="392"/>
    <cellStyle name="_KT (2)_2_TG-TH_ÿÿÿÿÿ" xfId="393"/>
    <cellStyle name="_KT (2)_2_TG-TH_ÿÿÿÿÿ_Bieu mau cong trinh khoi cong moi 3-4" xfId="394"/>
    <cellStyle name="_KT (2)_2_TG-TH_ÿÿÿÿÿ_Bieu3ODA" xfId="395"/>
    <cellStyle name="_KT (2)_2_TG-TH_ÿÿÿÿÿ_Bieu4HTMT" xfId="396"/>
    <cellStyle name="_KT (2)_2_TG-TH_ÿÿÿÿÿ_KH TPCP vung TNB (03-1-2012)" xfId="397"/>
    <cellStyle name="_KT (2)_2_TG-TH_ÿÿÿÿÿ_kien giang 2" xfId="398"/>
    <cellStyle name="_KT (2)_3" xfId="399"/>
    <cellStyle name="_KT (2)_3_TG-TH" xfId="400"/>
    <cellStyle name="_KT (2)_3_TG-TH 2" xfId="401"/>
    <cellStyle name="_KT (2)_3_TG-TH_05-12  KH trung han 2016-2020 - Liem Thinh edited" xfId="402"/>
    <cellStyle name="_KT (2)_3_TG-TH_BC  NAM 2007" xfId="403"/>
    <cellStyle name="_KT (2)_3_TG-TH_Bieu mau cong trinh khoi cong moi 3-4" xfId="404"/>
    <cellStyle name="_KT (2)_3_TG-TH_Bieu3ODA" xfId="405"/>
    <cellStyle name="_KT (2)_3_TG-TH_Bieu3ODA_1" xfId="406"/>
    <cellStyle name="_KT (2)_3_TG-TH_Bieu4HTMT" xfId="407"/>
    <cellStyle name="_KT (2)_3_TG-TH_bo sung von KCH nam 2010 va Du an tre kho khan" xfId="408"/>
    <cellStyle name="_KT (2)_3_TG-TH_Book1" xfId="409"/>
    <cellStyle name="_KT (2)_3_TG-TH_Book1 2" xfId="410"/>
    <cellStyle name="_KT (2)_3_TG-TH_Book1_1" xfId="411"/>
    <cellStyle name="_KT (2)_3_TG-TH_Book1_BC-QT-WB-dthao" xfId="412"/>
    <cellStyle name="_KT (2)_3_TG-TH_Book1_BC-QT-WB-dthao_05-12  KH trung han 2016-2020 - Liem Thinh edited" xfId="413"/>
    <cellStyle name="_KT (2)_3_TG-TH_Book1_BC-QT-WB-dthao_Copy of 05-12  KH trung han 2016-2020 - Liem Thinh edited (1)" xfId="414"/>
    <cellStyle name="_KT (2)_3_TG-TH_Book1_BC-QT-WB-dthao_KH TPCP 2016-2020 (tong hop)" xfId="415"/>
    <cellStyle name="_KT (2)_3_TG-TH_Book1_KH TPCP vung TNB (03-1-2012)" xfId="416"/>
    <cellStyle name="_KT (2)_3_TG-TH_Book1_kien giang 2" xfId="417"/>
    <cellStyle name="_KT (2)_3_TG-TH_Copy of 05-12  KH trung han 2016-2020 - Liem Thinh edited (1)" xfId="418"/>
    <cellStyle name="_KT (2)_3_TG-TH_danh muc chuan bi dau tu 2011 ngay 07-6-2011" xfId="419"/>
    <cellStyle name="_KT (2)_3_TG-TH_Danh muc pbo nguon von XSKT, XDCB nam 2009 chuyen qua nam 2010" xfId="420"/>
    <cellStyle name="_KT (2)_3_TG-TH_dieu chinh KH 2011 ngay 26-5-2011111" xfId="421"/>
    <cellStyle name="_KT (2)_3_TG-TH_DS KCH PHAN BO VON NSDP NAM 2010" xfId="422"/>
    <cellStyle name="_KT (2)_3_TG-TH_giao KH 2011 ngay 10-12-2010" xfId="423"/>
    <cellStyle name="_KT (2)_3_TG-TH_GTGT 2003" xfId="424"/>
    <cellStyle name="_KT (2)_3_TG-TH_KE KHAI THUE GTGT 2004" xfId="425"/>
    <cellStyle name="_KT (2)_3_TG-TH_KE KHAI THUE GTGT 2004_BCTC2004" xfId="426"/>
    <cellStyle name="_KT (2)_3_TG-TH_KH TPCP 2016-2020 (tong hop)" xfId="427"/>
    <cellStyle name="_KT (2)_3_TG-TH_KH TPCP vung TNB (03-1-2012)" xfId="428"/>
    <cellStyle name="_KT (2)_3_TG-TH_kien giang 2" xfId="429"/>
    <cellStyle name="_KT (2)_3_TG-TH_Lora-tungchau" xfId="430"/>
    <cellStyle name="_KT (2)_3_TG-TH_Lora-tungchau 2" xfId="431"/>
    <cellStyle name="_KT (2)_3_TG-TH_Lora-tungchau_05-12  KH trung han 2016-2020 - Liem Thinh edited" xfId="432"/>
    <cellStyle name="_KT (2)_3_TG-TH_Lora-tungchau_Copy of 05-12  KH trung han 2016-2020 - Liem Thinh edited (1)" xfId="433"/>
    <cellStyle name="_KT (2)_3_TG-TH_Lora-tungchau_KH TPCP 2016-2020 (tong hop)" xfId="434"/>
    <cellStyle name="_KT (2)_3_TG-TH_N-X-T-04" xfId="435"/>
    <cellStyle name="_KT (2)_3_TG-TH_PERSONAL" xfId="436"/>
    <cellStyle name="_KT (2)_3_TG-TH_PERSONAL_BC CV 6403 BKHĐT" xfId="437"/>
    <cellStyle name="_KT (2)_3_TG-TH_PERSONAL_Bieu mau cong trinh khoi cong moi 3-4" xfId="438"/>
    <cellStyle name="_KT (2)_3_TG-TH_PERSONAL_Bieu3ODA" xfId="439"/>
    <cellStyle name="_KT (2)_3_TG-TH_PERSONAL_Bieu4HTMT" xfId="440"/>
    <cellStyle name="_KT (2)_3_TG-TH_PERSONAL_Book1" xfId="441"/>
    <cellStyle name="_KT (2)_3_TG-TH_PERSONAL_Book1 2" xfId="442"/>
    <cellStyle name="_KT (2)_3_TG-TH_PERSONAL_HTQ.8 GD1" xfId="443"/>
    <cellStyle name="_KT (2)_3_TG-TH_PERSONAL_HTQ.8 GD1_05-12  KH trung han 2016-2020 - Liem Thinh edited" xfId="444"/>
    <cellStyle name="_KT (2)_3_TG-TH_PERSONAL_HTQ.8 GD1_Copy of 05-12  KH trung han 2016-2020 - Liem Thinh edited (1)" xfId="445"/>
    <cellStyle name="_KT (2)_3_TG-TH_PERSONAL_HTQ.8 GD1_KH TPCP 2016-2020 (tong hop)" xfId="446"/>
    <cellStyle name="_KT (2)_3_TG-TH_PERSONAL_Luy ke von ung nam 2011 -Thoa gui ngay 12-8-2012" xfId="447"/>
    <cellStyle name="_KT (2)_3_TG-TH_PERSONAL_Tong hop KHCB 2001" xfId="448"/>
    <cellStyle name="_KT (2)_3_TG-TH_Qt-HT3PQ1(CauKho)" xfId="449"/>
    <cellStyle name="_KT (2)_3_TG-TH_TK152-04" xfId="450"/>
    <cellStyle name="_KT (2)_3_TG-TH_ÿÿÿÿÿ" xfId="451"/>
    <cellStyle name="_KT (2)_3_TG-TH_ÿÿÿÿÿ_KH TPCP vung TNB (03-1-2012)" xfId="452"/>
    <cellStyle name="_KT (2)_3_TG-TH_ÿÿÿÿÿ_kien giang 2" xfId="453"/>
    <cellStyle name="_KT (2)_4" xfId="454"/>
    <cellStyle name="_KT (2)_4 2" xfId="455"/>
    <cellStyle name="_KT (2)_4_05-12  KH trung han 2016-2020 - Liem Thinh edited" xfId="456"/>
    <cellStyle name="_KT (2)_4_ApGiaVatTu_cayxanh_latgach" xfId="457"/>
    <cellStyle name="_KT (2)_4_BANG TONG HOP TINH HINH THANH QUYET TOAN (MOI I)" xfId="458"/>
    <cellStyle name="_KT (2)_4_BAO CAO KLCT PT2000" xfId="459"/>
    <cellStyle name="_KT (2)_4_BAO CAO PT2000" xfId="460"/>
    <cellStyle name="_KT (2)_4_BAO CAO PT2000_Book1" xfId="461"/>
    <cellStyle name="_KT (2)_4_Bao cao XDCB 2001 - T11 KH dieu chinh 20-11-THAI" xfId="462"/>
    <cellStyle name="_KT (2)_4_BAO GIA NGAY 24-10-08 (co dam)" xfId="463"/>
    <cellStyle name="_KT (2)_4_BC  NAM 2007" xfId="464"/>
    <cellStyle name="_KT (2)_4_BC CV 6403 BKHĐT" xfId="465"/>
    <cellStyle name="_KT (2)_4_BC NQ11-CP - chinh sua lai" xfId="466"/>
    <cellStyle name="_KT (2)_4_BC NQ11-CP-Quynh sau bieu so3" xfId="467"/>
    <cellStyle name="_KT (2)_4_BC_NQ11-CP_-_Thao_sua_lai" xfId="468"/>
    <cellStyle name="_KT (2)_4_Bieu mau cong trinh khoi cong moi 3-4" xfId="469"/>
    <cellStyle name="_KT (2)_4_Bieu3ODA" xfId="470"/>
    <cellStyle name="_KT (2)_4_Bieu3ODA_1" xfId="471"/>
    <cellStyle name="_KT (2)_4_Bieu4HTMT" xfId="472"/>
    <cellStyle name="_KT (2)_4_bo sung von KCH nam 2010 va Du an tre kho khan" xfId="473"/>
    <cellStyle name="_KT (2)_4_Book1" xfId="474"/>
    <cellStyle name="_KT (2)_4_Book1 2" xfId="475"/>
    <cellStyle name="_KT (2)_4_Book1_1" xfId="476"/>
    <cellStyle name="_KT (2)_4_Book1_1 2" xfId="477"/>
    <cellStyle name="_KT (2)_4_Book1_1_BC CV 6403 BKHĐT" xfId="478"/>
    <cellStyle name="_KT (2)_4_Book1_1_Bieu mau cong trinh khoi cong moi 3-4" xfId="479"/>
    <cellStyle name="_KT (2)_4_Book1_1_Bieu3ODA" xfId="480"/>
    <cellStyle name="_KT (2)_4_Book1_1_Bieu4HTMT" xfId="481"/>
    <cellStyle name="_KT (2)_4_Book1_1_Book1" xfId="482"/>
    <cellStyle name="_KT (2)_4_Book1_1_Luy ke von ung nam 2011 -Thoa gui ngay 12-8-2012" xfId="483"/>
    <cellStyle name="_KT (2)_4_Book1_2" xfId="484"/>
    <cellStyle name="_KT (2)_4_Book1_2 2" xfId="485"/>
    <cellStyle name="_KT (2)_4_Book1_2_BC CV 6403 BKHĐT" xfId="486"/>
    <cellStyle name="_KT (2)_4_Book1_2_Bieu3ODA" xfId="487"/>
    <cellStyle name="_KT (2)_4_Book1_2_Luy ke von ung nam 2011 -Thoa gui ngay 12-8-2012" xfId="488"/>
    <cellStyle name="_KT (2)_4_Book1_3" xfId="489"/>
    <cellStyle name="_KT (2)_4_Book1_3 2" xfId="490"/>
    <cellStyle name="_KT (2)_4_Book1_4" xfId="491"/>
    <cellStyle name="_KT (2)_4_Book1_BC CV 6403 BKHĐT" xfId="492"/>
    <cellStyle name="_KT (2)_4_Book1_Bieu mau cong trinh khoi cong moi 3-4" xfId="493"/>
    <cellStyle name="_KT (2)_4_Book1_Bieu3ODA" xfId="494"/>
    <cellStyle name="_KT (2)_4_Book1_Bieu4HTMT" xfId="495"/>
    <cellStyle name="_KT (2)_4_Book1_bo sung von KCH nam 2010 va Du an tre kho khan" xfId="496"/>
    <cellStyle name="_KT (2)_4_Book1_Book1" xfId="497"/>
    <cellStyle name="_KT (2)_4_Book1_danh muc chuan bi dau tu 2011 ngay 07-6-2011" xfId="498"/>
    <cellStyle name="_KT (2)_4_Book1_Danh muc pbo nguon von XSKT, XDCB nam 2009 chuyen qua nam 2010" xfId="499"/>
    <cellStyle name="_KT (2)_4_Book1_dieu chinh KH 2011 ngay 26-5-2011111" xfId="500"/>
    <cellStyle name="_KT (2)_4_Book1_DS KCH PHAN BO VON NSDP NAM 2010" xfId="501"/>
    <cellStyle name="_KT (2)_4_Book1_giao KH 2011 ngay 10-12-2010" xfId="502"/>
    <cellStyle name="_KT (2)_4_Book1_Luy ke von ung nam 2011 -Thoa gui ngay 12-8-2012" xfId="503"/>
    <cellStyle name="_KT (2)_4_CAU Khanh Nam(Thi Cong)" xfId="504"/>
    <cellStyle name="_KT (2)_4_ChiHuong_ApGia" xfId="505"/>
    <cellStyle name="_KT (2)_4_CoCauPhi (version 1)" xfId="506"/>
    <cellStyle name="_KT (2)_4_Copy of 05-12  KH trung han 2016-2020 - Liem Thinh edited (1)" xfId="507"/>
    <cellStyle name="_KT (2)_4_danh muc chuan bi dau tu 2011 ngay 07-6-2011" xfId="508"/>
    <cellStyle name="_KT (2)_4_Danh muc pbo nguon von XSKT, XDCB nam 2009 chuyen qua nam 2010" xfId="509"/>
    <cellStyle name="_KT (2)_4_DAU NOI PL-CL TAI PHU LAMHC" xfId="510"/>
    <cellStyle name="_KT (2)_4_dieu chinh KH 2011 ngay 26-5-2011111" xfId="511"/>
    <cellStyle name="_KT (2)_4_DS KCH PHAN BO VON NSDP NAM 2010" xfId="512"/>
    <cellStyle name="_KT (2)_4_DTCDT MR.2N110.HOCMON.TDTOAN.CCUNG" xfId="513"/>
    <cellStyle name="_KT (2)_4_DU TRU VAT TU" xfId="514"/>
    <cellStyle name="_KT (2)_4_giao KH 2011 ngay 10-12-2010" xfId="515"/>
    <cellStyle name="_KT (2)_4_GTGT 2003" xfId="516"/>
    <cellStyle name="_KT (2)_4_KE KHAI THUE GTGT 2004" xfId="517"/>
    <cellStyle name="_KT (2)_4_KE KHAI THUE GTGT 2004_BCTC2004" xfId="518"/>
    <cellStyle name="_KT (2)_4_KH TPCP 2016-2020 (tong hop)" xfId="519"/>
    <cellStyle name="_KT (2)_4_KH TPCP vung TNB (03-1-2012)" xfId="520"/>
    <cellStyle name="_KT (2)_4_kien giang 2" xfId="521"/>
    <cellStyle name="_KT (2)_4_Lora-tungchau" xfId="522"/>
    <cellStyle name="_KT (2)_4_Luy ke von ung nam 2011 -Thoa gui ngay 12-8-2012" xfId="523"/>
    <cellStyle name="_KT (2)_4_NhanCong" xfId="524"/>
    <cellStyle name="_KT (2)_4_N-X-T-04" xfId="525"/>
    <cellStyle name="_KT (2)_4_PGIA-phieu tham tra Kho bac" xfId="526"/>
    <cellStyle name="_KT (2)_4_phu luc tong ket tinh hinh TH giai doan 03-10 (ngay 30)" xfId="527"/>
    <cellStyle name="_KT (2)_4_PT02-02" xfId="528"/>
    <cellStyle name="_KT (2)_4_PT02-02_Book1" xfId="529"/>
    <cellStyle name="_KT (2)_4_PT02-03" xfId="530"/>
    <cellStyle name="_KT (2)_4_PT02-03_Book1" xfId="531"/>
    <cellStyle name="_KT (2)_4_Qt-HT3PQ1(CauKho)" xfId="532"/>
    <cellStyle name="_KT (2)_4_Sheet1" xfId="533"/>
    <cellStyle name="_KT (2)_4_TG-TH" xfId="534"/>
    <cellStyle name="_KT (2)_4_TK152-04" xfId="535"/>
    <cellStyle name="_KT (2)_4_ÿÿÿÿÿ" xfId="536"/>
    <cellStyle name="_KT (2)_4_ÿÿÿÿÿ_Bieu mau cong trinh khoi cong moi 3-4" xfId="537"/>
    <cellStyle name="_KT (2)_4_ÿÿÿÿÿ_Bieu3ODA" xfId="538"/>
    <cellStyle name="_KT (2)_4_ÿÿÿÿÿ_Bieu4HTMT" xfId="539"/>
    <cellStyle name="_KT (2)_4_ÿÿÿÿÿ_KH TPCP vung TNB (03-1-2012)" xfId="540"/>
    <cellStyle name="_KT (2)_4_ÿÿÿÿÿ_kien giang 2" xfId="541"/>
    <cellStyle name="_KT (2)_5" xfId="542"/>
    <cellStyle name="_KT (2)_5 2" xfId="543"/>
    <cellStyle name="_KT (2)_5_05-12  KH trung han 2016-2020 - Liem Thinh edited" xfId="544"/>
    <cellStyle name="_KT (2)_5_ApGiaVatTu_cayxanh_latgach" xfId="545"/>
    <cellStyle name="_KT (2)_5_BANG TONG HOP TINH HINH THANH QUYET TOAN (MOI I)" xfId="546"/>
    <cellStyle name="_KT (2)_5_BAO CAO KLCT PT2000" xfId="547"/>
    <cellStyle name="_KT (2)_5_BAO CAO PT2000" xfId="548"/>
    <cellStyle name="_KT (2)_5_BAO CAO PT2000_Book1" xfId="549"/>
    <cellStyle name="_KT (2)_5_Bao cao XDCB 2001 - T11 KH dieu chinh 20-11-THAI" xfId="550"/>
    <cellStyle name="_KT (2)_5_BAO GIA NGAY 24-10-08 (co dam)" xfId="551"/>
    <cellStyle name="_KT (2)_5_BC  NAM 2007" xfId="552"/>
    <cellStyle name="_KT (2)_5_BC CV 6403 BKHĐT" xfId="553"/>
    <cellStyle name="_KT (2)_5_BC NQ11-CP - chinh sua lai" xfId="554"/>
    <cellStyle name="_KT (2)_5_BC NQ11-CP-Quynh sau bieu so3" xfId="555"/>
    <cellStyle name="_KT (2)_5_BC_NQ11-CP_-_Thao_sua_lai" xfId="556"/>
    <cellStyle name="_KT (2)_5_Bieu mau cong trinh khoi cong moi 3-4" xfId="557"/>
    <cellStyle name="_KT (2)_5_Bieu3ODA" xfId="558"/>
    <cellStyle name="_KT (2)_5_Bieu3ODA_1" xfId="559"/>
    <cellStyle name="_KT (2)_5_Bieu4HTMT" xfId="560"/>
    <cellStyle name="_KT (2)_5_bo sung von KCH nam 2010 va Du an tre kho khan" xfId="561"/>
    <cellStyle name="_KT (2)_5_Book1" xfId="562"/>
    <cellStyle name="_KT (2)_5_Book1 2" xfId="563"/>
    <cellStyle name="_KT (2)_5_Book1_1" xfId="564"/>
    <cellStyle name="_KT (2)_5_Book1_1 2" xfId="565"/>
    <cellStyle name="_KT (2)_5_Book1_1_BC CV 6403 BKHĐT" xfId="566"/>
    <cellStyle name="_KT (2)_5_Book1_1_Bieu mau cong trinh khoi cong moi 3-4" xfId="567"/>
    <cellStyle name="_KT (2)_5_Book1_1_Bieu3ODA" xfId="568"/>
    <cellStyle name="_KT (2)_5_Book1_1_Bieu4HTMT" xfId="569"/>
    <cellStyle name="_KT (2)_5_Book1_1_Book1" xfId="570"/>
    <cellStyle name="_KT (2)_5_Book1_1_Luy ke von ung nam 2011 -Thoa gui ngay 12-8-2012" xfId="571"/>
    <cellStyle name="_KT (2)_5_Book1_2" xfId="572"/>
    <cellStyle name="_KT (2)_5_Book1_2 2" xfId="573"/>
    <cellStyle name="_KT (2)_5_Book1_2_BC CV 6403 BKHĐT" xfId="574"/>
    <cellStyle name="_KT (2)_5_Book1_2_Bieu3ODA" xfId="575"/>
    <cellStyle name="_KT (2)_5_Book1_2_Luy ke von ung nam 2011 -Thoa gui ngay 12-8-2012" xfId="576"/>
    <cellStyle name="_KT (2)_5_Book1_3" xfId="577"/>
    <cellStyle name="_KT (2)_5_Book1_4" xfId="578"/>
    <cellStyle name="_KT (2)_5_Book1_BC CV 6403 BKHĐT" xfId="579"/>
    <cellStyle name="_KT (2)_5_Book1_BC-QT-WB-dthao" xfId="580"/>
    <cellStyle name="_KT (2)_5_Book1_Bieu mau cong trinh khoi cong moi 3-4" xfId="581"/>
    <cellStyle name="_KT (2)_5_Book1_Bieu3ODA" xfId="582"/>
    <cellStyle name="_KT (2)_5_Book1_Bieu4HTMT" xfId="583"/>
    <cellStyle name="_KT (2)_5_Book1_bo sung von KCH nam 2010 va Du an tre kho khan" xfId="584"/>
    <cellStyle name="_KT (2)_5_Book1_Book1" xfId="585"/>
    <cellStyle name="_KT (2)_5_Book1_danh muc chuan bi dau tu 2011 ngay 07-6-2011" xfId="586"/>
    <cellStyle name="_KT (2)_5_Book1_Danh muc pbo nguon von XSKT, XDCB nam 2009 chuyen qua nam 2010" xfId="587"/>
    <cellStyle name="_KT (2)_5_Book1_dieu chinh KH 2011 ngay 26-5-2011111" xfId="588"/>
    <cellStyle name="_KT (2)_5_Book1_DS KCH PHAN BO VON NSDP NAM 2010" xfId="589"/>
    <cellStyle name="_KT (2)_5_Book1_giao KH 2011 ngay 10-12-2010" xfId="590"/>
    <cellStyle name="_KT (2)_5_Book1_Luy ke von ung nam 2011 -Thoa gui ngay 12-8-2012" xfId="591"/>
    <cellStyle name="_KT (2)_5_CAU Khanh Nam(Thi Cong)" xfId="592"/>
    <cellStyle name="_KT (2)_5_ChiHuong_ApGia" xfId="593"/>
    <cellStyle name="_KT (2)_5_CoCauPhi (version 1)" xfId="594"/>
    <cellStyle name="_KT (2)_5_Copy of 05-12  KH trung han 2016-2020 - Liem Thinh edited (1)" xfId="595"/>
    <cellStyle name="_KT (2)_5_danh muc chuan bi dau tu 2011 ngay 07-6-2011" xfId="596"/>
    <cellStyle name="_KT (2)_5_Danh muc pbo nguon von XSKT, XDCB nam 2009 chuyen qua nam 2010" xfId="597"/>
    <cellStyle name="_KT (2)_5_DAU NOI PL-CL TAI PHU LAMHC" xfId="598"/>
    <cellStyle name="_KT (2)_5_dieu chinh KH 2011 ngay 26-5-2011111" xfId="599"/>
    <cellStyle name="_KT (2)_5_DS KCH PHAN BO VON NSDP NAM 2010" xfId="600"/>
    <cellStyle name="_KT (2)_5_DTCDT MR.2N110.HOCMON.TDTOAN.CCUNG" xfId="601"/>
    <cellStyle name="_KT (2)_5_DU TRU VAT TU" xfId="602"/>
    <cellStyle name="_KT (2)_5_giao KH 2011 ngay 10-12-2010" xfId="603"/>
    <cellStyle name="_KT (2)_5_GTGT 2003" xfId="604"/>
    <cellStyle name="_KT (2)_5_KE KHAI THUE GTGT 2004" xfId="605"/>
    <cellStyle name="_KT (2)_5_KE KHAI THUE GTGT 2004_BCTC2004" xfId="606"/>
    <cellStyle name="_KT (2)_5_KH TPCP 2016-2020 (tong hop)" xfId="607"/>
    <cellStyle name="_KT (2)_5_KH TPCP vung TNB (03-1-2012)" xfId="608"/>
    <cellStyle name="_KT (2)_5_kien giang 2" xfId="609"/>
    <cellStyle name="_KT (2)_5_Lora-tungchau" xfId="610"/>
    <cellStyle name="_KT (2)_5_Luy ke von ung nam 2011 -Thoa gui ngay 12-8-2012" xfId="611"/>
    <cellStyle name="_KT (2)_5_NhanCong" xfId="612"/>
    <cellStyle name="_KT (2)_5_N-X-T-04" xfId="613"/>
    <cellStyle name="_KT (2)_5_PGIA-phieu tham tra Kho bac" xfId="614"/>
    <cellStyle name="_KT (2)_5_phu luc tong ket tinh hinh TH giai doan 03-10 (ngay 30)" xfId="615"/>
    <cellStyle name="_KT (2)_5_PT02-02" xfId="616"/>
    <cellStyle name="_KT (2)_5_PT02-02_Book1" xfId="617"/>
    <cellStyle name="_KT (2)_5_PT02-03" xfId="618"/>
    <cellStyle name="_KT (2)_5_PT02-03_Book1" xfId="619"/>
    <cellStyle name="_KT (2)_5_Qt-HT3PQ1(CauKho)" xfId="620"/>
    <cellStyle name="_KT (2)_5_Sheet1" xfId="621"/>
    <cellStyle name="_KT (2)_5_TK152-04" xfId="622"/>
    <cellStyle name="_KT (2)_5_ÿÿÿÿÿ" xfId="623"/>
    <cellStyle name="_KT (2)_5_ÿÿÿÿÿ_Bieu mau cong trinh khoi cong moi 3-4" xfId="624"/>
    <cellStyle name="_KT (2)_5_ÿÿÿÿÿ_Bieu3ODA" xfId="625"/>
    <cellStyle name="_KT (2)_5_ÿÿÿÿÿ_Bieu4HTMT" xfId="626"/>
    <cellStyle name="_KT (2)_5_ÿÿÿÿÿ_KH TPCP vung TNB (03-1-2012)" xfId="627"/>
    <cellStyle name="_KT (2)_5_ÿÿÿÿÿ_kien giang 2" xfId="628"/>
    <cellStyle name="_KT (2)_BC  NAM 2007" xfId="629"/>
    <cellStyle name="_KT (2)_Bieu mau cong trinh khoi cong moi 3-4" xfId="630"/>
    <cellStyle name="_KT (2)_Bieu3ODA" xfId="631"/>
    <cellStyle name="_KT (2)_Bieu3ODA_1" xfId="632"/>
    <cellStyle name="_KT (2)_Bieu4HTMT" xfId="633"/>
    <cellStyle name="_KT (2)_bo sung von KCH nam 2010 va Du an tre kho khan" xfId="634"/>
    <cellStyle name="_KT (2)_Book1" xfId="635"/>
    <cellStyle name="_KT (2)_Book1 2" xfId="636"/>
    <cellStyle name="_KT (2)_Book1_1" xfId="637"/>
    <cellStyle name="_KT (2)_Book1_BC-QT-WB-dthao" xfId="638"/>
    <cellStyle name="_KT (2)_Book1_BC-QT-WB-dthao_05-12  KH trung han 2016-2020 - Liem Thinh edited" xfId="639"/>
    <cellStyle name="_KT (2)_Book1_BC-QT-WB-dthao_Copy of 05-12  KH trung han 2016-2020 - Liem Thinh edited (1)" xfId="640"/>
    <cellStyle name="_KT (2)_Book1_BC-QT-WB-dthao_KH TPCP 2016-2020 (tong hop)" xfId="641"/>
    <cellStyle name="_KT (2)_Book1_KH TPCP vung TNB (03-1-2012)" xfId="642"/>
    <cellStyle name="_KT (2)_Book1_kien giang 2" xfId="643"/>
    <cellStyle name="_KT (2)_Copy of 05-12  KH trung han 2016-2020 - Liem Thinh edited (1)" xfId="644"/>
    <cellStyle name="_KT (2)_danh muc chuan bi dau tu 2011 ngay 07-6-2011" xfId="645"/>
    <cellStyle name="_KT (2)_Danh muc pbo nguon von XSKT, XDCB nam 2009 chuyen qua nam 2010" xfId="646"/>
    <cellStyle name="_KT (2)_dieu chinh KH 2011 ngay 26-5-2011111" xfId="647"/>
    <cellStyle name="_KT (2)_DS KCH PHAN BO VON NSDP NAM 2010" xfId="648"/>
    <cellStyle name="_KT (2)_giao KH 2011 ngay 10-12-2010" xfId="649"/>
    <cellStyle name="_KT (2)_GTGT 2003" xfId="650"/>
    <cellStyle name="_KT (2)_KE KHAI THUE GTGT 2004" xfId="651"/>
    <cellStyle name="_KT (2)_KE KHAI THUE GTGT 2004_BCTC2004" xfId="652"/>
    <cellStyle name="_KT (2)_KH TPCP 2016-2020 (tong hop)" xfId="653"/>
    <cellStyle name="_KT (2)_KH TPCP vung TNB (03-1-2012)" xfId="654"/>
    <cellStyle name="_KT (2)_kien giang 2" xfId="655"/>
    <cellStyle name="_KT (2)_Lora-tungchau" xfId="656"/>
    <cellStyle name="_KT (2)_Lora-tungchau 2" xfId="657"/>
    <cellStyle name="_KT (2)_Lora-tungchau_05-12  KH trung han 2016-2020 - Liem Thinh edited" xfId="658"/>
    <cellStyle name="_KT (2)_Lora-tungchau_Copy of 05-12  KH trung han 2016-2020 - Liem Thinh edited (1)" xfId="659"/>
    <cellStyle name="_KT (2)_Lora-tungchau_KH TPCP 2016-2020 (tong hop)" xfId="660"/>
    <cellStyle name="_KT (2)_N-X-T-04" xfId="661"/>
    <cellStyle name="_KT (2)_PERSONAL" xfId="662"/>
    <cellStyle name="_KT (2)_PERSONAL_BC CV 6403 BKHĐT" xfId="663"/>
    <cellStyle name="_KT (2)_PERSONAL_Bieu mau cong trinh khoi cong moi 3-4" xfId="664"/>
    <cellStyle name="_KT (2)_PERSONAL_Bieu3ODA" xfId="665"/>
    <cellStyle name="_KT (2)_PERSONAL_Bieu4HTMT" xfId="666"/>
    <cellStyle name="_KT (2)_PERSONAL_Book1" xfId="667"/>
    <cellStyle name="_KT (2)_PERSONAL_Book1 2" xfId="668"/>
    <cellStyle name="_KT (2)_PERSONAL_HTQ.8 GD1" xfId="669"/>
    <cellStyle name="_KT (2)_PERSONAL_HTQ.8 GD1_05-12  KH trung han 2016-2020 - Liem Thinh edited" xfId="670"/>
    <cellStyle name="_KT (2)_PERSONAL_HTQ.8 GD1_Copy of 05-12  KH trung han 2016-2020 - Liem Thinh edited (1)" xfId="671"/>
    <cellStyle name="_KT (2)_PERSONAL_HTQ.8 GD1_KH TPCP 2016-2020 (tong hop)" xfId="672"/>
    <cellStyle name="_KT (2)_PERSONAL_Luy ke von ung nam 2011 -Thoa gui ngay 12-8-2012" xfId="673"/>
    <cellStyle name="_KT (2)_PERSONAL_Tong hop KHCB 2001" xfId="674"/>
    <cellStyle name="_KT (2)_Qt-HT3PQ1(CauKho)" xfId="675"/>
    <cellStyle name="_KT (2)_TG-TH" xfId="676"/>
    <cellStyle name="_KT (2)_TK152-04" xfId="677"/>
    <cellStyle name="_KT (2)_ÿÿÿÿÿ" xfId="678"/>
    <cellStyle name="_KT (2)_ÿÿÿÿÿ_KH TPCP vung TNB (03-1-2012)" xfId="679"/>
    <cellStyle name="_KT (2)_ÿÿÿÿÿ_kien giang 2" xfId="680"/>
    <cellStyle name="_KT_TG" xfId="681"/>
    <cellStyle name="_KT_TG_1" xfId="682"/>
    <cellStyle name="_KT_TG_1 2" xfId="683"/>
    <cellStyle name="_KT_TG_1_05-12  KH trung han 2016-2020 - Liem Thinh edited" xfId="684"/>
    <cellStyle name="_KT_TG_1_ApGiaVatTu_cayxanh_latgach" xfId="685"/>
    <cellStyle name="_KT_TG_1_BANG TONG HOP TINH HINH THANH QUYET TOAN (MOI I)" xfId="686"/>
    <cellStyle name="_KT_TG_1_BAO CAO KLCT PT2000" xfId="687"/>
    <cellStyle name="_KT_TG_1_BAO CAO PT2000" xfId="688"/>
    <cellStyle name="_KT_TG_1_BAO CAO PT2000_Book1" xfId="689"/>
    <cellStyle name="_KT_TG_1_Bao cao XDCB 2001 - T11 KH dieu chinh 20-11-THAI" xfId="690"/>
    <cellStyle name="_KT_TG_1_BAO GIA NGAY 24-10-08 (co dam)" xfId="691"/>
    <cellStyle name="_KT_TG_1_BC  NAM 2007" xfId="692"/>
    <cellStyle name="_KT_TG_1_BC CV 6403 BKHĐT" xfId="693"/>
    <cellStyle name="_KT_TG_1_BC NQ11-CP - chinh sua lai" xfId="694"/>
    <cellStyle name="_KT_TG_1_BC NQ11-CP-Quynh sau bieu so3" xfId="695"/>
    <cellStyle name="_KT_TG_1_BC_NQ11-CP_-_Thao_sua_lai" xfId="696"/>
    <cellStyle name="_KT_TG_1_Bieu mau cong trinh khoi cong moi 3-4" xfId="697"/>
    <cellStyle name="_KT_TG_1_Bieu3ODA" xfId="698"/>
    <cellStyle name="_KT_TG_1_Bieu3ODA_1" xfId="699"/>
    <cellStyle name="_KT_TG_1_Bieu4HTMT" xfId="700"/>
    <cellStyle name="_KT_TG_1_bo sung von KCH nam 2010 va Du an tre kho khan" xfId="701"/>
    <cellStyle name="_KT_TG_1_Book1" xfId="702"/>
    <cellStyle name="_KT_TG_1_Book1 2" xfId="703"/>
    <cellStyle name="_KT_TG_1_Book1_1" xfId="704"/>
    <cellStyle name="_KT_TG_1_Book1_1 2" xfId="705"/>
    <cellStyle name="_KT_TG_1_Book1_1_BC CV 6403 BKHĐT" xfId="706"/>
    <cellStyle name="_KT_TG_1_Book1_1_Bieu mau cong trinh khoi cong moi 3-4" xfId="707"/>
    <cellStyle name="_KT_TG_1_Book1_1_Bieu3ODA" xfId="708"/>
    <cellStyle name="_KT_TG_1_Book1_1_Bieu4HTMT" xfId="709"/>
    <cellStyle name="_KT_TG_1_Book1_1_Book1" xfId="710"/>
    <cellStyle name="_KT_TG_1_Book1_1_Luy ke von ung nam 2011 -Thoa gui ngay 12-8-2012" xfId="711"/>
    <cellStyle name="_KT_TG_1_Book1_2" xfId="712"/>
    <cellStyle name="_KT_TG_1_Book1_2 2" xfId="713"/>
    <cellStyle name="_KT_TG_1_Book1_2_BC CV 6403 BKHĐT" xfId="714"/>
    <cellStyle name="_KT_TG_1_Book1_2_Bieu3ODA" xfId="715"/>
    <cellStyle name="_KT_TG_1_Book1_2_Luy ke von ung nam 2011 -Thoa gui ngay 12-8-2012" xfId="716"/>
    <cellStyle name="_KT_TG_1_Book1_3" xfId="717"/>
    <cellStyle name="_KT_TG_1_Book1_4" xfId="718"/>
    <cellStyle name="_KT_TG_1_Book1_BC CV 6403 BKHĐT" xfId="719"/>
    <cellStyle name="_KT_TG_1_Book1_BC-QT-WB-dthao" xfId="720"/>
    <cellStyle name="_KT_TG_1_Book1_Bieu mau cong trinh khoi cong moi 3-4" xfId="721"/>
    <cellStyle name="_KT_TG_1_Book1_Bieu3ODA" xfId="722"/>
    <cellStyle name="_KT_TG_1_Book1_Bieu4HTMT" xfId="723"/>
    <cellStyle name="_KT_TG_1_Book1_bo sung von KCH nam 2010 va Du an tre kho khan" xfId="724"/>
    <cellStyle name="_KT_TG_1_Book1_Book1" xfId="725"/>
    <cellStyle name="_KT_TG_1_Book1_danh muc chuan bi dau tu 2011 ngay 07-6-2011" xfId="726"/>
    <cellStyle name="_KT_TG_1_Book1_Danh muc pbo nguon von XSKT, XDCB nam 2009 chuyen qua nam 2010" xfId="727"/>
    <cellStyle name="_KT_TG_1_Book1_dieu chinh KH 2011 ngay 26-5-2011111" xfId="728"/>
    <cellStyle name="_KT_TG_1_Book1_DS KCH PHAN BO VON NSDP NAM 2010" xfId="729"/>
    <cellStyle name="_KT_TG_1_Book1_giao KH 2011 ngay 10-12-2010" xfId="730"/>
    <cellStyle name="_KT_TG_1_Book1_Luy ke von ung nam 2011 -Thoa gui ngay 12-8-2012" xfId="731"/>
    <cellStyle name="_KT_TG_1_CAU Khanh Nam(Thi Cong)" xfId="732"/>
    <cellStyle name="_KT_TG_1_ChiHuong_ApGia" xfId="733"/>
    <cellStyle name="_KT_TG_1_CoCauPhi (version 1)" xfId="734"/>
    <cellStyle name="_KT_TG_1_Copy of 05-12  KH trung han 2016-2020 - Liem Thinh edited (1)" xfId="735"/>
    <cellStyle name="_KT_TG_1_danh muc chuan bi dau tu 2011 ngay 07-6-2011" xfId="736"/>
    <cellStyle name="_KT_TG_1_Danh muc pbo nguon von XSKT, XDCB nam 2009 chuyen qua nam 2010" xfId="737"/>
    <cellStyle name="_KT_TG_1_DAU NOI PL-CL TAI PHU LAMHC" xfId="738"/>
    <cellStyle name="_KT_TG_1_dieu chinh KH 2011 ngay 26-5-2011111" xfId="739"/>
    <cellStyle name="_KT_TG_1_DS KCH PHAN BO VON NSDP NAM 2010" xfId="740"/>
    <cellStyle name="_KT_TG_1_DTCDT MR.2N110.HOCMON.TDTOAN.CCUNG" xfId="741"/>
    <cellStyle name="_KT_TG_1_DU TRU VAT TU" xfId="742"/>
    <cellStyle name="_KT_TG_1_giao KH 2011 ngay 10-12-2010" xfId="743"/>
    <cellStyle name="_KT_TG_1_GTGT 2003" xfId="744"/>
    <cellStyle name="_KT_TG_1_KE KHAI THUE GTGT 2004" xfId="745"/>
    <cellStyle name="_KT_TG_1_KE KHAI THUE GTGT 2004_BCTC2004" xfId="746"/>
    <cellStyle name="_KT_TG_1_KH TPCP 2016-2020 (tong hop)" xfId="747"/>
    <cellStyle name="_KT_TG_1_KH TPCP vung TNB (03-1-2012)" xfId="748"/>
    <cellStyle name="_KT_TG_1_kien giang 2" xfId="749"/>
    <cellStyle name="_KT_TG_1_Lora-tungchau" xfId="750"/>
    <cellStyle name="_KT_TG_1_Luy ke von ung nam 2011 -Thoa gui ngay 12-8-2012" xfId="751"/>
    <cellStyle name="_KT_TG_1_NhanCong" xfId="752"/>
    <cellStyle name="_KT_TG_1_N-X-T-04" xfId="753"/>
    <cellStyle name="_KT_TG_1_PGIA-phieu tham tra Kho bac" xfId="754"/>
    <cellStyle name="_KT_TG_1_phu luc tong ket tinh hinh TH giai doan 03-10 (ngay 30)" xfId="755"/>
    <cellStyle name="_KT_TG_1_PT02-02" xfId="756"/>
    <cellStyle name="_KT_TG_1_PT02-02_Book1" xfId="757"/>
    <cellStyle name="_KT_TG_1_PT02-03" xfId="758"/>
    <cellStyle name="_KT_TG_1_PT02-03_Book1" xfId="759"/>
    <cellStyle name="_KT_TG_1_Qt-HT3PQ1(CauKho)" xfId="760"/>
    <cellStyle name="_KT_TG_1_Sheet1" xfId="761"/>
    <cellStyle name="_KT_TG_1_TK152-04" xfId="762"/>
    <cellStyle name="_KT_TG_1_ÿÿÿÿÿ" xfId="763"/>
    <cellStyle name="_KT_TG_1_ÿÿÿÿÿ_Bieu mau cong trinh khoi cong moi 3-4" xfId="764"/>
    <cellStyle name="_KT_TG_1_ÿÿÿÿÿ_Bieu3ODA" xfId="765"/>
    <cellStyle name="_KT_TG_1_ÿÿÿÿÿ_Bieu4HTMT" xfId="766"/>
    <cellStyle name="_KT_TG_1_ÿÿÿÿÿ_KH TPCP vung TNB (03-1-2012)" xfId="767"/>
    <cellStyle name="_KT_TG_1_ÿÿÿÿÿ_kien giang 2" xfId="768"/>
    <cellStyle name="_KT_TG_2" xfId="769"/>
    <cellStyle name="_KT_TG_2 2" xfId="770"/>
    <cellStyle name="_KT_TG_2_05-12  KH trung han 2016-2020 - Liem Thinh edited" xfId="771"/>
    <cellStyle name="_KT_TG_2_ApGiaVatTu_cayxanh_latgach" xfId="772"/>
    <cellStyle name="_KT_TG_2_BANG TONG HOP TINH HINH THANH QUYET TOAN (MOI I)" xfId="773"/>
    <cellStyle name="_KT_TG_2_BAO CAO KLCT PT2000" xfId="774"/>
    <cellStyle name="_KT_TG_2_BAO CAO PT2000" xfId="775"/>
    <cellStyle name="_KT_TG_2_BAO CAO PT2000_Book1" xfId="776"/>
    <cellStyle name="_KT_TG_2_Bao cao XDCB 2001 - T11 KH dieu chinh 20-11-THAI" xfId="777"/>
    <cellStyle name="_KT_TG_2_BAO GIA NGAY 24-10-08 (co dam)" xfId="778"/>
    <cellStyle name="_KT_TG_2_BC  NAM 2007" xfId="779"/>
    <cellStyle name="_KT_TG_2_BC CV 6403 BKHĐT" xfId="780"/>
    <cellStyle name="_KT_TG_2_BC NQ11-CP - chinh sua lai" xfId="781"/>
    <cellStyle name="_KT_TG_2_BC NQ11-CP-Quynh sau bieu so3" xfId="782"/>
    <cellStyle name="_KT_TG_2_BC_NQ11-CP_-_Thao_sua_lai" xfId="783"/>
    <cellStyle name="_KT_TG_2_Bieu mau cong trinh khoi cong moi 3-4" xfId="784"/>
    <cellStyle name="_KT_TG_2_Bieu3ODA" xfId="785"/>
    <cellStyle name="_KT_TG_2_Bieu3ODA_1" xfId="786"/>
    <cellStyle name="_KT_TG_2_Bieu4HTMT" xfId="787"/>
    <cellStyle name="_KT_TG_2_bo sung von KCH nam 2010 va Du an tre kho khan" xfId="788"/>
    <cellStyle name="_KT_TG_2_Book1" xfId="789"/>
    <cellStyle name="_KT_TG_2_Book1 2" xfId="790"/>
    <cellStyle name="_KT_TG_2_Book1_1" xfId="791"/>
    <cellStyle name="_KT_TG_2_Book1_1 2" xfId="792"/>
    <cellStyle name="_KT_TG_2_Book1_1_BC CV 6403 BKHĐT" xfId="793"/>
    <cellStyle name="_KT_TG_2_Book1_1_Bieu mau cong trinh khoi cong moi 3-4" xfId="794"/>
    <cellStyle name="_KT_TG_2_Book1_1_Bieu3ODA" xfId="795"/>
    <cellStyle name="_KT_TG_2_Book1_1_Bieu4HTMT" xfId="796"/>
    <cellStyle name="_KT_TG_2_Book1_1_Book1" xfId="797"/>
    <cellStyle name="_KT_TG_2_Book1_1_Luy ke von ung nam 2011 -Thoa gui ngay 12-8-2012" xfId="798"/>
    <cellStyle name="_KT_TG_2_Book1_2" xfId="799"/>
    <cellStyle name="_KT_TG_2_Book1_2 2" xfId="800"/>
    <cellStyle name="_KT_TG_2_Book1_2_BC CV 6403 BKHĐT" xfId="801"/>
    <cellStyle name="_KT_TG_2_Book1_2_Bieu3ODA" xfId="802"/>
    <cellStyle name="_KT_TG_2_Book1_2_Luy ke von ung nam 2011 -Thoa gui ngay 12-8-2012" xfId="803"/>
    <cellStyle name="_KT_TG_2_Book1_3" xfId="804"/>
    <cellStyle name="_KT_TG_2_Book1_3 2" xfId="805"/>
    <cellStyle name="_KT_TG_2_Book1_4" xfId="806"/>
    <cellStyle name="_KT_TG_2_Book1_BC CV 6403 BKHĐT" xfId="807"/>
    <cellStyle name="_KT_TG_2_Book1_Bieu mau cong trinh khoi cong moi 3-4" xfId="808"/>
    <cellStyle name="_KT_TG_2_Book1_Bieu3ODA" xfId="809"/>
    <cellStyle name="_KT_TG_2_Book1_Bieu4HTMT" xfId="810"/>
    <cellStyle name="_KT_TG_2_Book1_bo sung von KCH nam 2010 va Du an tre kho khan" xfId="811"/>
    <cellStyle name="_KT_TG_2_Book1_Book1" xfId="812"/>
    <cellStyle name="_KT_TG_2_Book1_danh muc chuan bi dau tu 2011 ngay 07-6-2011" xfId="813"/>
    <cellStyle name="_KT_TG_2_Book1_Danh muc pbo nguon von XSKT, XDCB nam 2009 chuyen qua nam 2010" xfId="814"/>
    <cellStyle name="_KT_TG_2_Book1_dieu chinh KH 2011 ngay 26-5-2011111" xfId="815"/>
    <cellStyle name="_KT_TG_2_Book1_DS KCH PHAN BO VON NSDP NAM 2010" xfId="816"/>
    <cellStyle name="_KT_TG_2_Book1_giao KH 2011 ngay 10-12-2010" xfId="817"/>
    <cellStyle name="_KT_TG_2_Book1_Luy ke von ung nam 2011 -Thoa gui ngay 12-8-2012" xfId="818"/>
    <cellStyle name="_KT_TG_2_CAU Khanh Nam(Thi Cong)" xfId="819"/>
    <cellStyle name="_KT_TG_2_ChiHuong_ApGia" xfId="820"/>
    <cellStyle name="_KT_TG_2_CoCauPhi (version 1)" xfId="821"/>
    <cellStyle name="_KT_TG_2_Copy of 05-12  KH trung han 2016-2020 - Liem Thinh edited (1)" xfId="822"/>
    <cellStyle name="_KT_TG_2_danh muc chuan bi dau tu 2011 ngay 07-6-2011" xfId="823"/>
    <cellStyle name="_KT_TG_2_Danh muc pbo nguon von XSKT, XDCB nam 2009 chuyen qua nam 2010" xfId="824"/>
    <cellStyle name="_KT_TG_2_DAU NOI PL-CL TAI PHU LAMHC" xfId="825"/>
    <cellStyle name="_KT_TG_2_dieu chinh KH 2011 ngay 26-5-2011111" xfId="826"/>
    <cellStyle name="_KT_TG_2_DS KCH PHAN BO VON NSDP NAM 2010" xfId="827"/>
    <cellStyle name="_KT_TG_2_DTCDT MR.2N110.HOCMON.TDTOAN.CCUNG" xfId="828"/>
    <cellStyle name="_KT_TG_2_DU TRU VAT TU" xfId="829"/>
    <cellStyle name="_KT_TG_2_giao KH 2011 ngay 10-12-2010" xfId="830"/>
    <cellStyle name="_KT_TG_2_GTGT 2003" xfId="831"/>
    <cellStyle name="_KT_TG_2_KE KHAI THUE GTGT 2004" xfId="832"/>
    <cellStyle name="_KT_TG_2_KE KHAI THUE GTGT 2004_BCTC2004" xfId="833"/>
    <cellStyle name="_KT_TG_2_KH TPCP 2016-2020 (tong hop)" xfId="834"/>
    <cellStyle name="_KT_TG_2_KH TPCP vung TNB (03-1-2012)" xfId="835"/>
    <cellStyle name="_KT_TG_2_kien giang 2" xfId="836"/>
    <cellStyle name="_KT_TG_2_Lora-tungchau" xfId="837"/>
    <cellStyle name="_KT_TG_2_Luy ke von ung nam 2011 -Thoa gui ngay 12-8-2012" xfId="838"/>
    <cellStyle name="_KT_TG_2_NhanCong" xfId="839"/>
    <cellStyle name="_KT_TG_2_N-X-T-04" xfId="840"/>
    <cellStyle name="_KT_TG_2_PGIA-phieu tham tra Kho bac" xfId="841"/>
    <cellStyle name="_KT_TG_2_phu luc tong ket tinh hinh TH giai doan 03-10 (ngay 30)" xfId="842"/>
    <cellStyle name="_KT_TG_2_PT02-02" xfId="843"/>
    <cellStyle name="_KT_TG_2_PT02-02_Book1" xfId="844"/>
    <cellStyle name="_KT_TG_2_PT02-03" xfId="845"/>
    <cellStyle name="_KT_TG_2_PT02-03_Book1" xfId="846"/>
    <cellStyle name="_KT_TG_2_Qt-HT3PQ1(CauKho)" xfId="847"/>
    <cellStyle name="_KT_TG_2_Sheet1" xfId="848"/>
    <cellStyle name="_KT_TG_2_TK152-04" xfId="849"/>
    <cellStyle name="_KT_TG_2_ÿÿÿÿÿ" xfId="850"/>
    <cellStyle name="_KT_TG_2_ÿÿÿÿÿ_Bieu mau cong trinh khoi cong moi 3-4" xfId="851"/>
    <cellStyle name="_KT_TG_2_ÿÿÿÿÿ_Bieu3ODA" xfId="852"/>
    <cellStyle name="_KT_TG_2_ÿÿÿÿÿ_Bieu4HTMT" xfId="853"/>
    <cellStyle name="_KT_TG_2_ÿÿÿÿÿ_KH TPCP vung TNB (03-1-2012)" xfId="854"/>
    <cellStyle name="_KT_TG_2_ÿÿÿÿÿ_kien giang 2" xfId="855"/>
    <cellStyle name="_KT_TG_3" xfId="856"/>
    <cellStyle name="_KT_TG_4" xfId="857"/>
    <cellStyle name="_KT_TG_4 2" xfId="858"/>
    <cellStyle name="_KT_TG_4_05-12  KH trung han 2016-2020 - Liem Thinh edited" xfId="859"/>
    <cellStyle name="_KT_TG_4_Copy of 05-12  KH trung han 2016-2020 - Liem Thinh edited (1)" xfId="860"/>
    <cellStyle name="_KT_TG_4_KH TPCP 2016-2020 (tong hop)" xfId="861"/>
    <cellStyle name="_KT_TG_4_Lora-tungchau" xfId="862"/>
    <cellStyle name="_KT_TG_4_Lora-tungchau 2" xfId="863"/>
    <cellStyle name="_KT_TG_4_Lora-tungchau_05-12  KH trung han 2016-2020 - Liem Thinh edited" xfId="864"/>
    <cellStyle name="_KT_TG_4_Lora-tungchau_Copy of 05-12  KH trung han 2016-2020 - Liem Thinh edited (1)" xfId="865"/>
    <cellStyle name="_KT_TG_4_Lora-tungchau_KH TPCP 2016-2020 (tong hop)" xfId="866"/>
    <cellStyle name="_KT_TG_4_Qt-HT3PQ1(CauKho)" xfId="867"/>
    <cellStyle name="_Lora-tungchau" xfId="868"/>
    <cellStyle name="_Lora-tungchau 2" xfId="869"/>
    <cellStyle name="_Lora-tungchau_05-12  KH trung han 2016-2020 - Liem Thinh edited" xfId="870"/>
    <cellStyle name="_Lora-tungchau_Copy of 05-12  KH trung han 2016-2020 - Liem Thinh edited (1)" xfId="871"/>
    <cellStyle name="_Lora-tungchau_KH TPCP 2016-2020 (tong hop)" xfId="872"/>
    <cellStyle name="_Luy ke von ung nam 2011 -Thoa gui ngay 12-8-2012" xfId="873"/>
    <cellStyle name="_mau so 3" xfId="874"/>
    <cellStyle name="_MauThanTKKT-goi7-DonGia2143(vl t7)" xfId="875"/>
    <cellStyle name="_MauThanTKKT-goi7-DonGia2143(vl t7)_!1 1 bao cao giao KH ve HTCMT vung TNB   12-12-2011" xfId="876"/>
    <cellStyle name="_MauThanTKKT-goi7-DonGia2143(vl t7)_Bieu4HTMT" xfId="877"/>
    <cellStyle name="_MauThanTKKT-goi7-DonGia2143(vl t7)_Bieu4HTMT_!1 1 bao cao giao KH ve HTCMT vung TNB   12-12-2011" xfId="878"/>
    <cellStyle name="_MauThanTKKT-goi7-DonGia2143(vl t7)_Bieu4HTMT_KH TPCP vung TNB (03-1-2012)" xfId="879"/>
    <cellStyle name="_MauThanTKKT-goi7-DonGia2143(vl t7)_KH TPCP vung TNB (03-1-2012)" xfId="880"/>
    <cellStyle name="_Nhu cau von ung truoc 2011 Tha h Hoa + Nge An gui TW" xfId="881"/>
    <cellStyle name="_Nhu cau von ung truoc 2011 Tha h Hoa + Nge An gui TW_!1 1 bao cao giao KH ve HTCMT vung TNB   12-12-2011" xfId="882"/>
    <cellStyle name="_Nhu cau von ung truoc 2011 Tha h Hoa + Nge An gui TW_Bieu4HTMT" xfId="883"/>
    <cellStyle name="_Nhu cau von ung truoc 2011 Tha h Hoa + Nge An gui TW_Bieu4HTMT_!1 1 bao cao giao KH ve HTCMT vung TNB   12-12-2011" xfId="884"/>
    <cellStyle name="_Nhu cau von ung truoc 2011 Tha h Hoa + Nge An gui TW_Bieu4HTMT_KH TPCP vung TNB (03-1-2012)" xfId="885"/>
    <cellStyle name="_Nhu cau von ung truoc 2011 Tha h Hoa + Nge An gui TW_KH TPCP vung TNB (03-1-2012)" xfId="886"/>
    <cellStyle name="_N-X-T-04" xfId="887"/>
    <cellStyle name="_PERSONAL" xfId="888"/>
    <cellStyle name="_PERSONAL_BC CV 6403 BKHĐT" xfId="889"/>
    <cellStyle name="_PERSONAL_Bieu mau cong trinh khoi cong moi 3-4" xfId="890"/>
    <cellStyle name="_PERSONAL_Bieu3ODA" xfId="891"/>
    <cellStyle name="_PERSONAL_Bieu4HTMT" xfId="892"/>
    <cellStyle name="_PERSONAL_Book1" xfId="893"/>
    <cellStyle name="_PERSONAL_Book1 2" xfId="894"/>
    <cellStyle name="_PERSONAL_HTQ.8 GD1" xfId="895"/>
    <cellStyle name="_PERSONAL_HTQ.8 GD1_05-12  KH trung han 2016-2020 - Liem Thinh edited" xfId="896"/>
    <cellStyle name="_PERSONAL_HTQ.8 GD1_Copy of 05-12  KH trung han 2016-2020 - Liem Thinh edited (1)" xfId="897"/>
    <cellStyle name="_PERSONAL_HTQ.8 GD1_KH TPCP 2016-2020 (tong hop)" xfId="898"/>
    <cellStyle name="_PERSONAL_Luy ke von ung nam 2011 -Thoa gui ngay 12-8-2012" xfId="899"/>
    <cellStyle name="_PERSONAL_Tong hop KHCB 2001" xfId="900"/>
    <cellStyle name="_Phan bo KH 2009 TPCP" xfId="901"/>
    <cellStyle name="_phong bo mon22" xfId="902"/>
    <cellStyle name="_phong bo mon22_!1 1 bao cao giao KH ve HTCMT vung TNB   12-12-2011" xfId="903"/>
    <cellStyle name="_phong bo mon22_KH TPCP vung TNB (03-1-2012)" xfId="904"/>
    <cellStyle name="_Phu luc 2 (Bieu 2) TH KH 2010" xfId="905"/>
    <cellStyle name="_phu luc tong ket tinh hinh TH giai doan 03-10 (ngay 30)" xfId="906"/>
    <cellStyle name="_Phuluckinhphi_DC_lan 4_YL" xfId="907"/>
    <cellStyle name="_Q TOAN  SCTX QL.62 QUI I ( oanh)" xfId="908"/>
    <cellStyle name="_Q TOAN  SCTX QL.62 QUI II ( oanh)" xfId="909"/>
    <cellStyle name="_QT SCTXQL62_QT1 (Cty QL)" xfId="910"/>
    <cellStyle name="_Qt-HT3PQ1(CauKho)" xfId="911"/>
    <cellStyle name="_Sheet1" xfId="912"/>
    <cellStyle name="_Sheet2" xfId="913"/>
    <cellStyle name="_TG-TH" xfId="914"/>
    <cellStyle name="_TG-TH_1" xfId="915"/>
    <cellStyle name="_TG-TH_1 2" xfId="916"/>
    <cellStyle name="_TG-TH_1_05-12  KH trung han 2016-2020 - Liem Thinh edited" xfId="917"/>
    <cellStyle name="_TG-TH_1_ApGiaVatTu_cayxanh_latgach" xfId="918"/>
    <cellStyle name="_TG-TH_1_BANG TONG HOP TINH HINH THANH QUYET TOAN (MOI I)" xfId="919"/>
    <cellStyle name="_TG-TH_1_BAO CAO KLCT PT2000" xfId="920"/>
    <cellStyle name="_TG-TH_1_BAO CAO PT2000" xfId="921"/>
    <cellStyle name="_TG-TH_1_BAO CAO PT2000_Book1" xfId="922"/>
    <cellStyle name="_TG-TH_1_Bao cao XDCB 2001 - T11 KH dieu chinh 20-11-THAI" xfId="923"/>
    <cellStyle name="_TG-TH_1_BAO GIA NGAY 24-10-08 (co dam)" xfId="924"/>
    <cellStyle name="_TG-TH_1_BC  NAM 2007" xfId="925"/>
    <cellStyle name="_TG-TH_1_BC CV 6403 BKHĐT" xfId="926"/>
    <cellStyle name="_TG-TH_1_BC NQ11-CP - chinh sua lai" xfId="927"/>
    <cellStyle name="_TG-TH_1_BC NQ11-CP-Quynh sau bieu so3" xfId="928"/>
    <cellStyle name="_TG-TH_1_BC_NQ11-CP_-_Thao_sua_lai" xfId="929"/>
    <cellStyle name="_TG-TH_1_Bieu mau cong trinh khoi cong moi 3-4" xfId="930"/>
    <cellStyle name="_TG-TH_1_Bieu3ODA" xfId="931"/>
    <cellStyle name="_TG-TH_1_Bieu3ODA_1" xfId="932"/>
    <cellStyle name="_TG-TH_1_Bieu4HTMT" xfId="933"/>
    <cellStyle name="_TG-TH_1_bo sung von KCH nam 2010 va Du an tre kho khan" xfId="934"/>
    <cellStyle name="_TG-TH_1_Book1" xfId="935"/>
    <cellStyle name="_TG-TH_1_Book1 2" xfId="936"/>
    <cellStyle name="_TG-TH_1_Book1_1" xfId="937"/>
    <cellStyle name="_TG-TH_1_Book1_1 2" xfId="938"/>
    <cellStyle name="_TG-TH_1_Book1_1_BC CV 6403 BKHĐT" xfId="939"/>
    <cellStyle name="_TG-TH_1_Book1_1_Bieu mau cong trinh khoi cong moi 3-4" xfId="940"/>
    <cellStyle name="_TG-TH_1_Book1_1_Bieu3ODA" xfId="941"/>
    <cellStyle name="_TG-TH_1_Book1_1_Bieu4HTMT" xfId="942"/>
    <cellStyle name="_TG-TH_1_Book1_1_Book1" xfId="943"/>
    <cellStyle name="_TG-TH_1_Book1_1_Luy ke von ung nam 2011 -Thoa gui ngay 12-8-2012" xfId="944"/>
    <cellStyle name="_TG-TH_1_Book1_2" xfId="945"/>
    <cellStyle name="_TG-TH_1_Book1_2 2" xfId="946"/>
    <cellStyle name="_TG-TH_1_Book1_2_BC CV 6403 BKHĐT" xfId="947"/>
    <cellStyle name="_TG-TH_1_Book1_2_Bieu3ODA" xfId="948"/>
    <cellStyle name="_TG-TH_1_Book1_2_Luy ke von ung nam 2011 -Thoa gui ngay 12-8-2012" xfId="949"/>
    <cellStyle name="_TG-TH_1_Book1_3" xfId="950"/>
    <cellStyle name="_TG-TH_1_Book1_4" xfId="951"/>
    <cellStyle name="_TG-TH_1_Book1_BC CV 6403 BKHĐT" xfId="952"/>
    <cellStyle name="_TG-TH_1_Book1_BC-QT-WB-dthao" xfId="953"/>
    <cellStyle name="_TG-TH_1_Book1_Bieu mau cong trinh khoi cong moi 3-4" xfId="954"/>
    <cellStyle name="_TG-TH_1_Book1_Bieu3ODA" xfId="955"/>
    <cellStyle name="_TG-TH_1_Book1_Bieu4HTMT" xfId="956"/>
    <cellStyle name="_TG-TH_1_Book1_bo sung von KCH nam 2010 va Du an tre kho khan" xfId="957"/>
    <cellStyle name="_TG-TH_1_Book1_Book1" xfId="958"/>
    <cellStyle name="_TG-TH_1_Book1_danh muc chuan bi dau tu 2011 ngay 07-6-2011" xfId="959"/>
    <cellStyle name="_TG-TH_1_Book1_Danh muc pbo nguon von XSKT, XDCB nam 2009 chuyen qua nam 2010" xfId="960"/>
    <cellStyle name="_TG-TH_1_Book1_dieu chinh KH 2011 ngay 26-5-2011111" xfId="961"/>
    <cellStyle name="_TG-TH_1_Book1_DS KCH PHAN BO VON NSDP NAM 2010" xfId="962"/>
    <cellStyle name="_TG-TH_1_Book1_giao KH 2011 ngay 10-12-2010" xfId="963"/>
    <cellStyle name="_TG-TH_1_Book1_Luy ke von ung nam 2011 -Thoa gui ngay 12-8-2012" xfId="964"/>
    <cellStyle name="_TG-TH_1_CAU Khanh Nam(Thi Cong)" xfId="965"/>
    <cellStyle name="_TG-TH_1_ChiHuong_ApGia" xfId="966"/>
    <cellStyle name="_TG-TH_1_CoCauPhi (version 1)" xfId="967"/>
    <cellStyle name="_TG-TH_1_Copy of 05-12  KH trung han 2016-2020 - Liem Thinh edited (1)" xfId="968"/>
    <cellStyle name="_TG-TH_1_danh muc chuan bi dau tu 2011 ngay 07-6-2011" xfId="969"/>
    <cellStyle name="_TG-TH_1_Danh muc pbo nguon von XSKT, XDCB nam 2009 chuyen qua nam 2010" xfId="970"/>
    <cellStyle name="_TG-TH_1_DAU NOI PL-CL TAI PHU LAMHC" xfId="971"/>
    <cellStyle name="_TG-TH_1_dieu chinh KH 2011 ngay 26-5-2011111" xfId="972"/>
    <cellStyle name="_TG-TH_1_DS KCH PHAN BO VON NSDP NAM 2010" xfId="973"/>
    <cellStyle name="_TG-TH_1_DTCDT MR.2N110.HOCMON.TDTOAN.CCUNG" xfId="974"/>
    <cellStyle name="_TG-TH_1_DU TRU VAT TU" xfId="975"/>
    <cellStyle name="_TG-TH_1_giao KH 2011 ngay 10-12-2010" xfId="976"/>
    <cellStyle name="_TG-TH_1_GTGT 2003" xfId="977"/>
    <cellStyle name="_TG-TH_1_KE KHAI THUE GTGT 2004" xfId="978"/>
    <cellStyle name="_TG-TH_1_KE KHAI THUE GTGT 2004_BCTC2004" xfId="979"/>
    <cellStyle name="_TG-TH_1_KH TPCP 2016-2020 (tong hop)" xfId="980"/>
    <cellStyle name="_TG-TH_1_KH TPCP vung TNB (03-1-2012)" xfId="981"/>
    <cellStyle name="_TG-TH_1_kien giang 2" xfId="982"/>
    <cellStyle name="_TG-TH_1_Lora-tungchau" xfId="983"/>
    <cellStyle name="_TG-TH_1_Luy ke von ung nam 2011 -Thoa gui ngay 12-8-2012" xfId="984"/>
    <cellStyle name="_TG-TH_1_NhanCong" xfId="985"/>
    <cellStyle name="_TG-TH_1_N-X-T-04" xfId="986"/>
    <cellStyle name="_TG-TH_1_PGIA-phieu tham tra Kho bac" xfId="987"/>
    <cellStyle name="_TG-TH_1_phu luc tong ket tinh hinh TH giai doan 03-10 (ngay 30)" xfId="988"/>
    <cellStyle name="_TG-TH_1_PT02-02" xfId="989"/>
    <cellStyle name="_TG-TH_1_PT02-02_Book1" xfId="990"/>
    <cellStyle name="_TG-TH_1_PT02-03" xfId="991"/>
    <cellStyle name="_TG-TH_1_PT02-03_Book1" xfId="992"/>
    <cellStyle name="_TG-TH_1_Qt-HT3PQ1(CauKho)" xfId="993"/>
    <cellStyle name="_TG-TH_1_Sheet1" xfId="994"/>
    <cellStyle name="_TG-TH_1_TK152-04" xfId="995"/>
    <cellStyle name="_TG-TH_1_ÿÿÿÿÿ" xfId="996"/>
    <cellStyle name="_TG-TH_1_ÿÿÿÿÿ_Bieu mau cong trinh khoi cong moi 3-4" xfId="997"/>
    <cellStyle name="_TG-TH_1_ÿÿÿÿÿ_Bieu3ODA" xfId="998"/>
    <cellStyle name="_TG-TH_1_ÿÿÿÿÿ_Bieu4HTMT" xfId="999"/>
    <cellStyle name="_TG-TH_1_ÿÿÿÿÿ_KH TPCP vung TNB (03-1-2012)" xfId="1000"/>
    <cellStyle name="_TG-TH_1_ÿÿÿÿÿ_kien giang 2" xfId="1001"/>
    <cellStyle name="_TG-TH_2" xfId="1002"/>
    <cellStyle name="_TG-TH_2 2" xfId="1003"/>
    <cellStyle name="_TG-TH_2_05-12  KH trung han 2016-2020 - Liem Thinh edited" xfId="1004"/>
    <cellStyle name="_TG-TH_2_ApGiaVatTu_cayxanh_latgach" xfId="1005"/>
    <cellStyle name="_TG-TH_2_BANG TONG HOP TINH HINH THANH QUYET TOAN (MOI I)" xfId="1006"/>
    <cellStyle name="_TG-TH_2_BAO CAO KLCT PT2000" xfId="1007"/>
    <cellStyle name="_TG-TH_2_BAO CAO PT2000" xfId="1008"/>
    <cellStyle name="_TG-TH_2_BAO CAO PT2000_Book1" xfId="1009"/>
    <cellStyle name="_TG-TH_2_Bao cao XDCB 2001 - T11 KH dieu chinh 20-11-THAI" xfId="1010"/>
    <cellStyle name="_TG-TH_2_BAO GIA NGAY 24-10-08 (co dam)" xfId="1011"/>
    <cellStyle name="_TG-TH_2_BC  NAM 2007" xfId="1012"/>
    <cellStyle name="_TG-TH_2_BC CV 6403 BKHĐT" xfId="1013"/>
    <cellStyle name="_TG-TH_2_BC NQ11-CP - chinh sua lai" xfId="1014"/>
    <cellStyle name="_TG-TH_2_BC NQ11-CP-Quynh sau bieu so3" xfId="1015"/>
    <cellStyle name="_TG-TH_2_BC_NQ11-CP_-_Thao_sua_lai" xfId="1016"/>
    <cellStyle name="_TG-TH_2_Bieu mau cong trinh khoi cong moi 3-4" xfId="1017"/>
    <cellStyle name="_TG-TH_2_Bieu3ODA" xfId="1018"/>
    <cellStyle name="_TG-TH_2_Bieu3ODA_1" xfId="1019"/>
    <cellStyle name="_TG-TH_2_Bieu4HTMT" xfId="1020"/>
    <cellStyle name="_TG-TH_2_bo sung von KCH nam 2010 va Du an tre kho khan" xfId="1021"/>
    <cellStyle name="_TG-TH_2_Book1" xfId="1022"/>
    <cellStyle name="_TG-TH_2_Book1 2" xfId="1023"/>
    <cellStyle name="_TG-TH_2_Book1_1" xfId="1024"/>
    <cellStyle name="_TG-TH_2_Book1_1 2" xfId="1025"/>
    <cellStyle name="_TG-TH_2_Book1_1_BC CV 6403 BKHĐT" xfId="1026"/>
    <cellStyle name="_TG-TH_2_Book1_1_Bieu mau cong trinh khoi cong moi 3-4" xfId="1027"/>
    <cellStyle name="_TG-TH_2_Book1_1_Bieu3ODA" xfId="1028"/>
    <cellStyle name="_TG-TH_2_Book1_1_Bieu4HTMT" xfId="1029"/>
    <cellStyle name="_TG-TH_2_Book1_1_Book1" xfId="1030"/>
    <cellStyle name="_TG-TH_2_Book1_1_Luy ke von ung nam 2011 -Thoa gui ngay 12-8-2012" xfId="1031"/>
    <cellStyle name="_TG-TH_2_Book1_2" xfId="1032"/>
    <cellStyle name="_TG-TH_2_Book1_2 2" xfId="1033"/>
    <cellStyle name="_TG-TH_2_Book1_2_BC CV 6403 BKHĐT" xfId="1034"/>
    <cellStyle name="_TG-TH_2_Book1_2_Bieu3ODA" xfId="1035"/>
    <cellStyle name="_TG-TH_2_Book1_2_Luy ke von ung nam 2011 -Thoa gui ngay 12-8-2012" xfId="1036"/>
    <cellStyle name="_TG-TH_2_Book1_3" xfId="1037"/>
    <cellStyle name="_TG-TH_2_Book1_3 2" xfId="1038"/>
    <cellStyle name="_TG-TH_2_Book1_4" xfId="1039"/>
    <cellStyle name="_TG-TH_2_Book1_BC CV 6403 BKHĐT" xfId="1040"/>
    <cellStyle name="_TG-TH_2_Book1_Bieu mau cong trinh khoi cong moi 3-4" xfId="1041"/>
    <cellStyle name="_TG-TH_2_Book1_Bieu3ODA" xfId="1042"/>
    <cellStyle name="_TG-TH_2_Book1_Bieu4HTMT" xfId="1043"/>
    <cellStyle name="_TG-TH_2_Book1_bo sung von KCH nam 2010 va Du an tre kho khan" xfId="1044"/>
    <cellStyle name="_TG-TH_2_Book1_Book1" xfId="1045"/>
    <cellStyle name="_TG-TH_2_Book1_danh muc chuan bi dau tu 2011 ngay 07-6-2011" xfId="1046"/>
    <cellStyle name="_TG-TH_2_Book1_Danh muc pbo nguon von XSKT, XDCB nam 2009 chuyen qua nam 2010" xfId="1047"/>
    <cellStyle name="_TG-TH_2_Book1_dieu chinh KH 2011 ngay 26-5-2011111" xfId="1048"/>
    <cellStyle name="_TG-TH_2_Book1_DS KCH PHAN BO VON NSDP NAM 2010" xfId="1049"/>
    <cellStyle name="_TG-TH_2_Book1_giao KH 2011 ngay 10-12-2010" xfId="1050"/>
    <cellStyle name="_TG-TH_2_Book1_Luy ke von ung nam 2011 -Thoa gui ngay 12-8-2012" xfId="1051"/>
    <cellStyle name="_TG-TH_2_CAU Khanh Nam(Thi Cong)" xfId="1052"/>
    <cellStyle name="_TG-TH_2_ChiHuong_ApGia" xfId="1053"/>
    <cellStyle name="_TG-TH_2_CoCauPhi (version 1)" xfId="1054"/>
    <cellStyle name="_TG-TH_2_Copy of 05-12  KH trung han 2016-2020 - Liem Thinh edited (1)" xfId="1055"/>
    <cellStyle name="_TG-TH_2_danh muc chuan bi dau tu 2011 ngay 07-6-2011" xfId="1056"/>
    <cellStyle name="_TG-TH_2_Danh muc pbo nguon von XSKT, XDCB nam 2009 chuyen qua nam 2010" xfId="1057"/>
    <cellStyle name="_TG-TH_2_DAU NOI PL-CL TAI PHU LAMHC" xfId="1058"/>
    <cellStyle name="_TG-TH_2_dieu chinh KH 2011 ngay 26-5-2011111" xfId="1059"/>
    <cellStyle name="_TG-TH_2_DS KCH PHAN BO VON NSDP NAM 2010" xfId="1060"/>
    <cellStyle name="_TG-TH_2_DTCDT MR.2N110.HOCMON.TDTOAN.CCUNG" xfId="1061"/>
    <cellStyle name="_TG-TH_2_DU TRU VAT TU" xfId="1062"/>
    <cellStyle name="_TG-TH_2_giao KH 2011 ngay 10-12-2010" xfId="1063"/>
    <cellStyle name="_TG-TH_2_GTGT 2003" xfId="1064"/>
    <cellStyle name="_TG-TH_2_KE KHAI THUE GTGT 2004" xfId="1065"/>
    <cellStyle name="_TG-TH_2_KE KHAI THUE GTGT 2004_BCTC2004" xfId="1066"/>
    <cellStyle name="_TG-TH_2_KH TPCP 2016-2020 (tong hop)" xfId="1067"/>
    <cellStyle name="_TG-TH_2_KH TPCP vung TNB (03-1-2012)" xfId="1068"/>
    <cellStyle name="_TG-TH_2_kien giang 2" xfId="1069"/>
    <cellStyle name="_TG-TH_2_Lora-tungchau" xfId="1070"/>
    <cellStyle name="_TG-TH_2_Luy ke von ung nam 2011 -Thoa gui ngay 12-8-2012" xfId="1071"/>
    <cellStyle name="_TG-TH_2_NhanCong" xfId="1072"/>
    <cellStyle name="_TG-TH_2_N-X-T-04" xfId="1073"/>
    <cellStyle name="_TG-TH_2_PGIA-phieu tham tra Kho bac" xfId="1074"/>
    <cellStyle name="_TG-TH_2_phu luc tong ket tinh hinh TH giai doan 03-10 (ngay 30)" xfId="1075"/>
    <cellStyle name="_TG-TH_2_PT02-02" xfId="1076"/>
    <cellStyle name="_TG-TH_2_PT02-02_Book1" xfId="1077"/>
    <cellStyle name="_TG-TH_2_PT02-03" xfId="1078"/>
    <cellStyle name="_TG-TH_2_PT02-03_Book1" xfId="1079"/>
    <cellStyle name="_TG-TH_2_Qt-HT3PQ1(CauKho)" xfId="1080"/>
    <cellStyle name="_TG-TH_2_Sheet1" xfId="1081"/>
    <cellStyle name="_TG-TH_2_TK152-04" xfId="1082"/>
    <cellStyle name="_TG-TH_2_ÿÿÿÿÿ" xfId="1083"/>
    <cellStyle name="_TG-TH_2_ÿÿÿÿÿ_Bieu mau cong trinh khoi cong moi 3-4" xfId="1084"/>
    <cellStyle name="_TG-TH_2_ÿÿÿÿÿ_Bieu3ODA" xfId="1085"/>
    <cellStyle name="_TG-TH_2_ÿÿÿÿÿ_Bieu4HTMT" xfId="1086"/>
    <cellStyle name="_TG-TH_2_ÿÿÿÿÿ_KH TPCP vung TNB (03-1-2012)" xfId="1087"/>
    <cellStyle name="_TG-TH_2_ÿÿÿÿÿ_kien giang 2" xfId="1088"/>
    <cellStyle name="_TG-TH_3" xfId="1089"/>
    <cellStyle name="_TG-TH_3 2" xfId="1090"/>
    <cellStyle name="_TG-TH_3_05-12  KH trung han 2016-2020 - Liem Thinh edited" xfId="1091"/>
    <cellStyle name="_TG-TH_3_Copy of 05-12  KH trung han 2016-2020 - Liem Thinh edited (1)" xfId="1092"/>
    <cellStyle name="_TG-TH_3_KH TPCP 2016-2020 (tong hop)" xfId="1093"/>
    <cellStyle name="_TG-TH_3_Lora-tungchau" xfId="1094"/>
    <cellStyle name="_TG-TH_3_Lora-tungchau 2" xfId="1095"/>
    <cellStyle name="_TG-TH_3_Lora-tungchau_05-12  KH trung han 2016-2020 - Liem Thinh edited" xfId="1096"/>
    <cellStyle name="_TG-TH_3_Lora-tungchau_Copy of 05-12  KH trung han 2016-2020 - Liem Thinh edited (1)" xfId="1097"/>
    <cellStyle name="_TG-TH_3_Lora-tungchau_KH TPCP 2016-2020 (tong hop)" xfId="1098"/>
    <cellStyle name="_TG-TH_3_Qt-HT3PQ1(CauKho)" xfId="1099"/>
    <cellStyle name="_TG-TH_4" xfId="1100"/>
    <cellStyle name="_TH KH 2010" xfId="1101"/>
    <cellStyle name="_TK152-04" xfId="1102"/>
    <cellStyle name="_Tong dutoan PP LAHAI" xfId="1103"/>
    <cellStyle name="_TPCP GT-24-5-Mien Nui" xfId="1104"/>
    <cellStyle name="_TPCP GT-24-5-Mien Nui_!1 1 bao cao giao KH ve HTCMT vung TNB   12-12-2011" xfId="1105"/>
    <cellStyle name="_TPCP GT-24-5-Mien Nui_Bieu4HTMT" xfId="1106"/>
    <cellStyle name="_TPCP GT-24-5-Mien Nui_Bieu4HTMT_!1 1 bao cao giao KH ve HTCMT vung TNB   12-12-2011" xfId="1107"/>
    <cellStyle name="_TPCP GT-24-5-Mien Nui_Bieu4HTMT_KH TPCP vung TNB (03-1-2012)" xfId="1108"/>
    <cellStyle name="_TPCP GT-24-5-Mien Nui_KH TPCP vung TNB (03-1-2012)" xfId="1109"/>
    <cellStyle name="_TT209BTC3" xfId="1110"/>
    <cellStyle name="_ung truoc 2011 NSTW Thanh Hoa + Nge An gui Thu 12-5" xfId="1111"/>
    <cellStyle name="_ung truoc 2011 NSTW Thanh Hoa + Nge An gui Thu 12-5_!1 1 bao cao giao KH ve HTCMT vung TNB   12-12-2011" xfId="1112"/>
    <cellStyle name="_ung truoc 2011 NSTW Thanh Hoa + Nge An gui Thu 12-5_Bieu4HTMT" xfId="1113"/>
    <cellStyle name="_ung truoc 2011 NSTW Thanh Hoa + Nge An gui Thu 12-5_Bieu4HTMT_!1 1 bao cao giao KH ve HTCMT vung TNB   12-12-2011" xfId="1114"/>
    <cellStyle name="_ung truoc 2011 NSTW Thanh Hoa + Nge An gui Thu 12-5_Bieu4HTMT_KH TPCP vung TNB (03-1-2012)" xfId="1115"/>
    <cellStyle name="_ung truoc 2011 NSTW Thanh Hoa + Nge An gui Thu 12-5_KH TPCP vung TNB (03-1-2012)" xfId="1116"/>
    <cellStyle name="_ung truoc cua long an (6-5-2010)" xfId="1117"/>
    <cellStyle name="_Ung von nam 2011 vung TNB - Doan Cong tac (12-5-2010)" xfId="1118"/>
    <cellStyle name="_Ung von nam 2011 vung TNB - Doan Cong tac (12-5-2010)_!1 1 bao cao giao KH ve HTCMT vung TNB   12-12-2011" xfId="1119"/>
    <cellStyle name="_Ung von nam 2011 vung TNB - Doan Cong tac (12-5-2010)_Bieu4HTMT" xfId="1120"/>
    <cellStyle name="_Ung von nam 2011 vung TNB - Doan Cong tac (12-5-2010)_Bieu4HTMT_!1 1 bao cao giao KH ve HTCMT vung TNB   12-12-2011" xfId="1121"/>
    <cellStyle name="_Ung von nam 2011 vung TNB - Doan Cong tac (12-5-2010)_Bieu4HTMT_KH TPCP vung TNB (03-1-2012)" xfId="1122"/>
    <cellStyle name="_Ung von nam 2011 vung TNB - Doan Cong tac (12-5-2010)_Chuẩn bị đầu tư 2011 (sep Hung)_KH 2012 (T3-2013)" xfId="1123"/>
    <cellStyle name="_Ung von nam 2011 vung TNB - Doan Cong tac (12-5-2010)_Cong trinh co y kien LD_Dang_NN_2011-Tay nguyen-9-10" xfId="1124"/>
    <cellStyle name="_Ung von nam 2011 vung TNB - Doan Cong tac (12-5-2010)_Cong trinh co y kien LD_Dang_NN_2011-Tay nguyen-9-10_!1 1 bao cao giao KH ve HTCMT vung TNB   12-12-2011" xfId="1125"/>
    <cellStyle name="_Ung von nam 2011 vung TNB - Doan Cong tac (12-5-2010)_Cong trinh co y kien LD_Dang_NN_2011-Tay nguyen-9-10_Bieu4HTMT" xfId="1126"/>
    <cellStyle name="_Ung von nam 2011 vung TNB - Doan Cong tac (12-5-2010)_Cong trinh co y kien LD_Dang_NN_2011-Tay nguyen-9-10_Bieu4HTMT_!1 1 bao cao giao KH ve HTCMT vung TNB   12-12-2011" xfId="1127"/>
    <cellStyle name="_Ung von nam 2011 vung TNB - Doan Cong tac (12-5-2010)_Cong trinh co y kien LD_Dang_NN_2011-Tay nguyen-9-10_Bieu4HTMT_KH TPCP vung TNB (03-1-2012)" xfId="1128"/>
    <cellStyle name="_Ung von nam 2011 vung TNB - Doan Cong tac (12-5-2010)_Cong trinh co y kien LD_Dang_NN_2011-Tay nguyen-9-10_KH TPCP vung TNB (03-1-2012)" xfId="1129"/>
    <cellStyle name="_Ung von nam 2011 vung TNB - Doan Cong tac (12-5-2010)_KH TPCP vung TNB (03-1-2012)" xfId="1130"/>
    <cellStyle name="_Ung von nam 2011 vung TNB - Doan Cong tac (12-5-2010)_TN - Ho tro khac 2011" xfId="1131"/>
    <cellStyle name="_Ung von nam 2011 vung TNB - Doan Cong tac (12-5-2010)_TN - Ho tro khac 2011_!1 1 bao cao giao KH ve HTCMT vung TNB   12-12-2011" xfId="1132"/>
    <cellStyle name="_Ung von nam 2011 vung TNB - Doan Cong tac (12-5-2010)_TN - Ho tro khac 2011_Bieu4HTMT" xfId="1133"/>
    <cellStyle name="_Ung von nam 2011 vung TNB - Doan Cong tac (12-5-2010)_TN - Ho tro khac 2011_Bieu4HTMT_!1 1 bao cao giao KH ve HTCMT vung TNB   12-12-2011" xfId="1134"/>
    <cellStyle name="_Ung von nam 2011 vung TNB - Doan Cong tac (12-5-2010)_TN - Ho tro khac 2011_Bieu4HTMT_KH TPCP vung TNB (03-1-2012)" xfId="1135"/>
    <cellStyle name="_Ung von nam 2011 vung TNB - Doan Cong tac (12-5-2010)_TN - Ho tro khac 2011_KH TPCP vung TNB (03-1-2012)" xfId="1136"/>
    <cellStyle name="_Von dau tu 2006-2020 (TL chien luoc)" xfId="1137"/>
    <cellStyle name="_Von dau tu 2006-2020 (TL chien luoc)_15_10_2013 BC nhu cau von doi ung ODA (2014-2016) ngay 15102013 Sua" xfId="1138"/>
    <cellStyle name="_Von dau tu 2006-2020 (TL chien luoc)_BC nhu cau von doi ung ODA nganh NN (BKH)" xfId="1139"/>
    <cellStyle name="_Von dau tu 2006-2020 (TL chien luoc)_BC nhu cau von doi ung ODA nganh NN (BKH)_05-12  KH trung han 2016-2020 - Liem Thinh edited" xfId="1140"/>
    <cellStyle name="_Von dau tu 2006-2020 (TL chien luoc)_BC nhu cau von doi ung ODA nganh NN (BKH)_Copy of 05-12  KH trung han 2016-2020 - Liem Thinh edited (1)" xfId="1141"/>
    <cellStyle name="_Von dau tu 2006-2020 (TL chien luoc)_BC Tai co cau (bieu TH)" xfId="1142"/>
    <cellStyle name="_Von dau tu 2006-2020 (TL chien luoc)_BC Tai co cau (bieu TH)_05-12  KH trung han 2016-2020 - Liem Thinh edited" xfId="1143"/>
    <cellStyle name="_Von dau tu 2006-2020 (TL chien luoc)_BC Tai co cau (bieu TH)_Copy of 05-12  KH trung han 2016-2020 - Liem Thinh edited (1)" xfId="1144"/>
    <cellStyle name="_Von dau tu 2006-2020 (TL chien luoc)_DK 2014-2015 final" xfId="1145"/>
    <cellStyle name="_Von dau tu 2006-2020 (TL chien luoc)_DK 2014-2015 final_05-12  KH trung han 2016-2020 - Liem Thinh edited" xfId="1146"/>
    <cellStyle name="_Von dau tu 2006-2020 (TL chien luoc)_DK 2014-2015 final_Copy of 05-12  KH trung han 2016-2020 - Liem Thinh edited (1)" xfId="1147"/>
    <cellStyle name="_Von dau tu 2006-2020 (TL chien luoc)_DK 2014-2015 new" xfId="1148"/>
    <cellStyle name="_Von dau tu 2006-2020 (TL chien luoc)_DK 2014-2015 new_05-12  KH trung han 2016-2020 - Liem Thinh edited" xfId="1149"/>
    <cellStyle name="_Von dau tu 2006-2020 (TL chien luoc)_DK 2014-2015 new_Copy of 05-12  KH trung han 2016-2020 - Liem Thinh edited (1)" xfId="1150"/>
    <cellStyle name="_Von dau tu 2006-2020 (TL chien luoc)_DK KH CBDT 2014 11-11-2013" xfId="1151"/>
    <cellStyle name="_Von dau tu 2006-2020 (TL chien luoc)_DK KH CBDT 2014 11-11-2013(1)" xfId="1152"/>
    <cellStyle name="_Von dau tu 2006-2020 (TL chien luoc)_DK KH CBDT 2014 11-11-2013(1)_05-12  KH trung han 2016-2020 - Liem Thinh edited" xfId="1153"/>
    <cellStyle name="_Von dau tu 2006-2020 (TL chien luoc)_DK KH CBDT 2014 11-11-2013(1)_Copy of 05-12  KH trung han 2016-2020 - Liem Thinh edited (1)" xfId="1154"/>
    <cellStyle name="_Von dau tu 2006-2020 (TL chien luoc)_DK KH CBDT 2014 11-11-2013_05-12  KH trung han 2016-2020 - Liem Thinh edited" xfId="1155"/>
    <cellStyle name="_Von dau tu 2006-2020 (TL chien luoc)_DK KH CBDT 2014 11-11-2013_Copy of 05-12  KH trung han 2016-2020 - Liem Thinh edited (1)" xfId="1156"/>
    <cellStyle name="_Von dau tu 2006-2020 (TL chien luoc)_KH 2011-2015" xfId="1157"/>
    <cellStyle name="_Von dau tu 2006-2020 (TL chien luoc)_tai co cau dau tu (tong hop)1" xfId="1158"/>
    <cellStyle name="_x005f_x0001_" xfId="1159"/>
    <cellStyle name="_x005f_x0001__!1 1 bao cao giao KH ve HTCMT vung TNB   12-12-2011" xfId="1160"/>
    <cellStyle name="_x005f_x0001__kien giang 2" xfId="1161"/>
    <cellStyle name="_x005f_x000d__x005f_x000a_JournalTemplate=C:\COMFO\CTALK\JOURSTD.TPL_x005f_x000d__x005f_x000a_LbStateAddress=3 3 0 251 1 89 2 311_x005f_x000d__x005f_x000a_LbStateJou" xfId="1162"/>
    <cellStyle name="_x005f_x005f_x005f_x0001_" xfId="1163"/>
    <cellStyle name="_x005f_x005f_x005f_x0001__!1 1 bao cao giao KH ve HTCMT vung TNB   12-12-2011" xfId="1164"/>
    <cellStyle name="_x005f_x005f_x005f_x0001__kien giang 2" xfId="1165"/>
    <cellStyle name="_x005f_x005f_x005f_x000d__x005f_x005f_x005f_x000a_JournalTemplate=C:\COMFO\CTALK\JOURSTD.TPL_x005f_x005f_x005f_x000d__x005f_x005f_x005f_x000a_LbStateAddress=3 3 0 251 1 89 2 311_x005f_x005f_x005f_x000d__x005f_x005f_x005f_x000a_LbStateJou" xfId="1166"/>
    <cellStyle name="_XDCB thang 12.2010" xfId="1167"/>
    <cellStyle name="_ÿÿÿÿÿ" xfId="1168"/>
    <cellStyle name="_ÿÿÿÿÿ_Bieu mau cong trinh khoi cong moi 3-4" xfId="1169"/>
    <cellStyle name="_ÿÿÿÿÿ_Bieu mau cong trinh khoi cong moi 3-4_!1 1 bao cao giao KH ve HTCMT vung TNB   12-12-2011" xfId="1170"/>
    <cellStyle name="_ÿÿÿÿÿ_Bieu mau cong trinh khoi cong moi 3-4_KH TPCP vung TNB (03-1-2012)" xfId="1171"/>
    <cellStyle name="_ÿÿÿÿÿ_Bieu3ODA" xfId="1172"/>
    <cellStyle name="_ÿÿÿÿÿ_Bieu3ODA_!1 1 bao cao giao KH ve HTCMT vung TNB   12-12-2011" xfId="1173"/>
    <cellStyle name="_ÿÿÿÿÿ_Bieu3ODA_KH TPCP vung TNB (03-1-2012)" xfId="1174"/>
    <cellStyle name="_ÿÿÿÿÿ_Bieu4HTMT" xfId="1175"/>
    <cellStyle name="_ÿÿÿÿÿ_Bieu4HTMT_!1 1 bao cao giao KH ve HTCMT vung TNB   12-12-2011" xfId="1176"/>
    <cellStyle name="_ÿÿÿÿÿ_Bieu4HTMT_KH TPCP vung TNB (03-1-2012)" xfId="1177"/>
    <cellStyle name="_ÿÿÿÿÿ_Kh ql62 (2010) 11-09" xfId="1178"/>
    <cellStyle name="_ÿÿÿÿÿ_KH TPCP vung TNB (03-1-2012)" xfId="1179"/>
    <cellStyle name="_ÿÿÿÿÿ_Khung 2012" xfId="1180"/>
    <cellStyle name="_ÿÿÿÿÿ_kien giang 2" xfId="1181"/>
    <cellStyle name="~1" xfId="1182"/>
    <cellStyle name="~1 2" xfId="1183"/>
    <cellStyle name="’Ê‰Ý [0.00]_laroux" xfId="1184"/>
    <cellStyle name="’Ê‰Ý_laroux" xfId="1185"/>
    <cellStyle name="¤@¯ë_CHI PHI QUAN LY 1-00" xfId="1186"/>
    <cellStyle name="•W?_Format" xfId="1187"/>
    <cellStyle name="•W€_’·Šú‰p•¶" xfId="1188"/>
    <cellStyle name="•W_’·Šú‰p•¶" xfId="1189"/>
    <cellStyle name="W_MARINE" xfId="1190"/>
    <cellStyle name="0" xfId="1191"/>
    <cellStyle name="0 2" xfId="1192"/>
    <cellStyle name="0 2 2" xfId="5261"/>
    <cellStyle name="0 3" xfId="5260"/>
    <cellStyle name="0,0&#10;&#10;NA&#10;&#10;" xfId="1193"/>
    <cellStyle name="0,0_x000d_&#10;NA_x000d_&#10;" xfId="1194"/>
    <cellStyle name="0,0_x000d_&#10;NA_x000d_&#10; 2" xfId="1195"/>
    <cellStyle name="0,0_x000d_&#10;NA_x000d_&#10; 3" xfId="1196"/>
    <cellStyle name="0,0_x000d_&#10;NA_x000d_&#10; 4" xfId="1197"/>
    <cellStyle name="0,0_x000d_&#10;NA_x000d_&#10;_Phu luc so 2 - NSTW " xfId="1198"/>
    <cellStyle name="0,0_x005f_x000d__x005f_x000a_NA_x005f_x000d__x005f_x000a_" xfId="1199"/>
    <cellStyle name="0.0" xfId="1200"/>
    <cellStyle name="0.0 2" xfId="1201"/>
    <cellStyle name="0.0 2 2" xfId="5263"/>
    <cellStyle name="0.0 3" xfId="5262"/>
    <cellStyle name="0.00" xfId="1202"/>
    <cellStyle name="0.00 2" xfId="1203"/>
    <cellStyle name="0.00 2 2" xfId="5265"/>
    <cellStyle name="0.00 3" xfId="5264"/>
    <cellStyle name="1" xfId="1204"/>
    <cellStyle name="1 2" xfId="1205"/>
    <cellStyle name="1_!1 1 bao cao giao KH ve HTCMT vung TNB   12-12-2011" xfId="1206"/>
    <cellStyle name="1_BAO GIA NGAY 24-10-08 (co dam)" xfId="1207"/>
    <cellStyle name="1_Bieu4HTMT" xfId="1208"/>
    <cellStyle name="1_Book1" xfId="1209"/>
    <cellStyle name="1_Book1_1" xfId="1210"/>
    <cellStyle name="1_Book1_1_!1 1 bao cao giao KH ve HTCMT vung TNB   12-12-2011" xfId="1211"/>
    <cellStyle name="1_Book1_1_Bieu4HTMT" xfId="1212"/>
    <cellStyle name="1_Book1_1_Bieu4HTMT_!1 1 bao cao giao KH ve HTCMT vung TNB   12-12-2011" xfId="1213"/>
    <cellStyle name="1_Book1_1_Bieu4HTMT_KH TPCP vung TNB (03-1-2012)" xfId="1214"/>
    <cellStyle name="1_Book1_1_KH TPCP vung TNB (03-1-2012)" xfId="1215"/>
    <cellStyle name="1_Cau thuy dien Ban La (Cu Anh)" xfId="1216"/>
    <cellStyle name="1_Cau thuy dien Ban La (Cu Anh)_!1 1 bao cao giao KH ve HTCMT vung TNB   12-12-2011" xfId="1217"/>
    <cellStyle name="1_Cau thuy dien Ban La (Cu Anh)_Bieu4HTMT" xfId="1218"/>
    <cellStyle name="1_Cau thuy dien Ban La (Cu Anh)_Bieu4HTMT_!1 1 bao cao giao KH ve HTCMT vung TNB   12-12-2011" xfId="1219"/>
    <cellStyle name="1_Cau thuy dien Ban La (Cu Anh)_Bieu4HTMT_KH TPCP vung TNB (03-1-2012)" xfId="1220"/>
    <cellStyle name="1_Cau thuy dien Ban La (Cu Anh)_KH TPCP vung TNB (03-1-2012)" xfId="1221"/>
    <cellStyle name="1_Cong trinh co y kien LD_Dang_NN_2011-Tay nguyen-9-10" xfId="1222"/>
    <cellStyle name="1_Du toan 558 (Km17+508.12 - Km 22)" xfId="1223"/>
    <cellStyle name="1_Du toan 558 (Km17+508.12 - Km 22)_!1 1 bao cao giao KH ve HTCMT vung TNB   12-12-2011" xfId="1224"/>
    <cellStyle name="1_Du toan 558 (Km17+508.12 - Km 22)_Bieu4HTMT" xfId="1225"/>
    <cellStyle name="1_Du toan 558 (Km17+508.12 - Km 22)_Bieu4HTMT_!1 1 bao cao giao KH ve HTCMT vung TNB   12-12-2011" xfId="1226"/>
    <cellStyle name="1_Du toan 558 (Km17+508.12 - Km 22)_Bieu4HTMT_KH TPCP vung TNB (03-1-2012)" xfId="1227"/>
    <cellStyle name="1_Du toan 558 (Km17+508.12 - Km 22)_KH TPCP vung TNB (03-1-2012)" xfId="1228"/>
    <cellStyle name="1_Gia_VLQL48_duyet " xfId="1229"/>
    <cellStyle name="1_Gia_VLQL48_duyet _!1 1 bao cao giao KH ve HTCMT vung TNB   12-12-2011" xfId="1230"/>
    <cellStyle name="1_Gia_VLQL48_duyet _Bieu4HTMT" xfId="1231"/>
    <cellStyle name="1_Gia_VLQL48_duyet _Bieu4HTMT_!1 1 bao cao giao KH ve HTCMT vung TNB   12-12-2011" xfId="1232"/>
    <cellStyle name="1_Gia_VLQL48_duyet _Bieu4HTMT_KH TPCP vung TNB (03-1-2012)" xfId="1233"/>
    <cellStyle name="1_Gia_VLQL48_duyet _KH TPCP vung TNB (03-1-2012)" xfId="1234"/>
    <cellStyle name="1_Kh ql62 (2010) 11-09" xfId="1235"/>
    <cellStyle name="1_KH TPCP vung TNB (03-1-2012)" xfId="1236"/>
    <cellStyle name="1_Khung 2012" xfId="1237"/>
    <cellStyle name="1_KlQdinhduyet" xfId="1238"/>
    <cellStyle name="1_KlQdinhduyet_!1 1 bao cao giao KH ve HTCMT vung TNB   12-12-2011" xfId="1239"/>
    <cellStyle name="1_KlQdinhduyet_Bieu4HTMT" xfId="1240"/>
    <cellStyle name="1_KlQdinhduyet_Bieu4HTMT_!1 1 bao cao giao KH ve HTCMT vung TNB   12-12-2011" xfId="1241"/>
    <cellStyle name="1_KlQdinhduyet_Bieu4HTMT_KH TPCP vung TNB (03-1-2012)" xfId="1242"/>
    <cellStyle name="1_KlQdinhduyet_KH TPCP vung TNB (03-1-2012)" xfId="1243"/>
    <cellStyle name="1_TN - Ho tro khac 2011" xfId="1244"/>
    <cellStyle name="1_TRUNG PMU 5" xfId="1245"/>
    <cellStyle name="1_ÿÿÿÿÿ" xfId="1246"/>
    <cellStyle name="1_ÿÿÿÿÿ_Bieu tong hop nhu cau ung 2011 da chon loc -Mien nui" xfId="1247"/>
    <cellStyle name="1_ÿÿÿÿÿ_Bieu tong hop nhu cau ung 2011 da chon loc -Mien nui 2" xfId="1248"/>
    <cellStyle name="1_ÿÿÿÿÿ_Bieu tong hop nhu cau ung 2011 da chon loc -Mien nui 2 2" xfId="5267"/>
    <cellStyle name="1_ÿÿÿÿÿ_Bieu tong hop nhu cau ung 2011 da chon loc -Mien nui 3" xfId="5266"/>
    <cellStyle name="1_ÿÿÿÿÿ_Kh ql62 (2010) 11-09" xfId="1249"/>
    <cellStyle name="1_ÿÿÿÿÿ_Khung 2012" xfId="1250"/>
    <cellStyle name="15" xfId="1251"/>
    <cellStyle name="18" xfId="1252"/>
    <cellStyle name="¹éºÐÀ²_      " xfId="1253"/>
    <cellStyle name="2" xfId="1254"/>
    <cellStyle name="2_Book1" xfId="1255"/>
    <cellStyle name="2_Book1_1" xfId="1256"/>
    <cellStyle name="2_Book1_1_!1 1 bao cao giao KH ve HTCMT vung TNB   12-12-2011" xfId="1257"/>
    <cellStyle name="2_Book1_1_Bieu4HTMT" xfId="1258"/>
    <cellStyle name="2_Book1_1_Bieu4HTMT_!1 1 bao cao giao KH ve HTCMT vung TNB   12-12-2011" xfId="1259"/>
    <cellStyle name="2_Book1_1_Bieu4HTMT_KH TPCP vung TNB (03-1-2012)" xfId="1260"/>
    <cellStyle name="2_Book1_1_KH TPCP vung TNB (03-1-2012)" xfId="1261"/>
    <cellStyle name="2_Cau thuy dien Ban La (Cu Anh)" xfId="1262"/>
    <cellStyle name="2_Cau thuy dien Ban La (Cu Anh)_!1 1 bao cao giao KH ve HTCMT vung TNB   12-12-2011" xfId="1263"/>
    <cellStyle name="2_Cau thuy dien Ban La (Cu Anh)_Bieu4HTMT" xfId="1264"/>
    <cellStyle name="2_Cau thuy dien Ban La (Cu Anh)_Bieu4HTMT_!1 1 bao cao giao KH ve HTCMT vung TNB   12-12-2011" xfId="1265"/>
    <cellStyle name="2_Cau thuy dien Ban La (Cu Anh)_Bieu4HTMT_KH TPCP vung TNB (03-1-2012)" xfId="1266"/>
    <cellStyle name="2_Cau thuy dien Ban La (Cu Anh)_KH TPCP vung TNB (03-1-2012)" xfId="1267"/>
    <cellStyle name="2_Du toan 558 (Km17+508.12 - Km 22)" xfId="1268"/>
    <cellStyle name="2_Du toan 558 (Km17+508.12 - Km 22)_!1 1 bao cao giao KH ve HTCMT vung TNB   12-12-2011" xfId="1269"/>
    <cellStyle name="2_Du toan 558 (Km17+508.12 - Km 22)_Bieu4HTMT" xfId="1270"/>
    <cellStyle name="2_Du toan 558 (Km17+508.12 - Km 22)_Bieu4HTMT_!1 1 bao cao giao KH ve HTCMT vung TNB   12-12-2011" xfId="1271"/>
    <cellStyle name="2_Du toan 558 (Km17+508.12 - Km 22)_Bieu4HTMT_KH TPCP vung TNB (03-1-2012)" xfId="1272"/>
    <cellStyle name="2_Du toan 558 (Km17+508.12 - Km 22)_KH TPCP vung TNB (03-1-2012)" xfId="1273"/>
    <cellStyle name="2_Gia_VLQL48_duyet " xfId="1274"/>
    <cellStyle name="2_Gia_VLQL48_duyet _!1 1 bao cao giao KH ve HTCMT vung TNB   12-12-2011" xfId="1275"/>
    <cellStyle name="2_Gia_VLQL48_duyet _Bieu4HTMT" xfId="1276"/>
    <cellStyle name="2_Gia_VLQL48_duyet _Bieu4HTMT_!1 1 bao cao giao KH ve HTCMT vung TNB   12-12-2011" xfId="1277"/>
    <cellStyle name="2_Gia_VLQL48_duyet _Bieu4HTMT_KH TPCP vung TNB (03-1-2012)" xfId="1278"/>
    <cellStyle name="2_Gia_VLQL48_duyet _KH TPCP vung TNB (03-1-2012)" xfId="1279"/>
    <cellStyle name="2_KlQdinhduyet" xfId="1280"/>
    <cellStyle name="2_KlQdinhduyet_!1 1 bao cao giao KH ve HTCMT vung TNB   12-12-2011" xfId="1281"/>
    <cellStyle name="2_KlQdinhduyet_Bieu4HTMT" xfId="1282"/>
    <cellStyle name="2_KlQdinhduyet_Bieu4HTMT_!1 1 bao cao giao KH ve HTCMT vung TNB   12-12-2011" xfId="1283"/>
    <cellStyle name="2_KlQdinhduyet_Bieu4HTMT_KH TPCP vung TNB (03-1-2012)" xfId="1284"/>
    <cellStyle name="2_KlQdinhduyet_KH TPCP vung TNB (03-1-2012)" xfId="1285"/>
    <cellStyle name="2_TRUNG PMU 5" xfId="1286"/>
    <cellStyle name="2_ÿÿÿÿÿ" xfId="1287"/>
    <cellStyle name="2_ÿÿÿÿÿ_Bieu tong hop nhu cau ung 2011 da chon loc -Mien nui" xfId="1288"/>
    <cellStyle name="2_ÿÿÿÿÿ_Bieu tong hop nhu cau ung 2011 da chon loc -Mien nui 2" xfId="1289"/>
    <cellStyle name="2_ÿÿÿÿÿ_Bieu tong hop nhu cau ung 2011 da chon loc -Mien nui 2 2" xfId="5269"/>
    <cellStyle name="2_ÿÿÿÿÿ_Bieu tong hop nhu cau ung 2011 da chon loc -Mien nui 3" xfId="5268"/>
    <cellStyle name="20" xfId="1290"/>
    <cellStyle name="20% - Accent1 2" xfId="1291"/>
    <cellStyle name="20% - Accent2 2" xfId="1292"/>
    <cellStyle name="20% - Accent3 2" xfId="1293"/>
    <cellStyle name="20% - Accent4 2" xfId="1294"/>
    <cellStyle name="20% - Accent5 2" xfId="1295"/>
    <cellStyle name="20% - Accent6 2" xfId="1296"/>
    <cellStyle name="-2001" xfId="1297"/>
    <cellStyle name="3" xfId="1298"/>
    <cellStyle name="3_Book1" xfId="1299"/>
    <cellStyle name="3_Book1_1" xfId="1300"/>
    <cellStyle name="3_Book1_1_!1 1 bao cao giao KH ve HTCMT vung TNB   12-12-2011" xfId="1301"/>
    <cellStyle name="3_Book1_1_Bieu4HTMT" xfId="1302"/>
    <cellStyle name="3_Book1_1_Bieu4HTMT_!1 1 bao cao giao KH ve HTCMT vung TNB   12-12-2011" xfId="1303"/>
    <cellStyle name="3_Book1_1_Bieu4HTMT_KH TPCP vung TNB (03-1-2012)" xfId="1304"/>
    <cellStyle name="3_Book1_1_KH TPCP vung TNB (03-1-2012)" xfId="1305"/>
    <cellStyle name="3_Cau thuy dien Ban La (Cu Anh)" xfId="1306"/>
    <cellStyle name="3_Cau thuy dien Ban La (Cu Anh)_!1 1 bao cao giao KH ve HTCMT vung TNB   12-12-2011" xfId="1307"/>
    <cellStyle name="3_Cau thuy dien Ban La (Cu Anh)_Bieu4HTMT" xfId="1308"/>
    <cellStyle name="3_Cau thuy dien Ban La (Cu Anh)_Bieu4HTMT_!1 1 bao cao giao KH ve HTCMT vung TNB   12-12-2011" xfId="1309"/>
    <cellStyle name="3_Cau thuy dien Ban La (Cu Anh)_Bieu4HTMT_KH TPCP vung TNB (03-1-2012)" xfId="1310"/>
    <cellStyle name="3_Cau thuy dien Ban La (Cu Anh)_KH TPCP vung TNB (03-1-2012)" xfId="1311"/>
    <cellStyle name="3_Du toan 558 (Km17+508.12 - Km 22)" xfId="1312"/>
    <cellStyle name="3_Du toan 558 (Km17+508.12 - Km 22)_!1 1 bao cao giao KH ve HTCMT vung TNB   12-12-2011" xfId="1313"/>
    <cellStyle name="3_Du toan 558 (Km17+508.12 - Km 22)_Bieu4HTMT" xfId="1314"/>
    <cellStyle name="3_Du toan 558 (Km17+508.12 - Km 22)_Bieu4HTMT_!1 1 bao cao giao KH ve HTCMT vung TNB   12-12-2011" xfId="1315"/>
    <cellStyle name="3_Du toan 558 (Km17+508.12 - Km 22)_Bieu4HTMT_KH TPCP vung TNB (03-1-2012)" xfId="1316"/>
    <cellStyle name="3_Du toan 558 (Km17+508.12 - Km 22)_KH TPCP vung TNB (03-1-2012)" xfId="1317"/>
    <cellStyle name="3_Gia_VLQL48_duyet " xfId="1318"/>
    <cellStyle name="3_Gia_VLQL48_duyet _!1 1 bao cao giao KH ve HTCMT vung TNB   12-12-2011" xfId="1319"/>
    <cellStyle name="3_Gia_VLQL48_duyet _Bieu4HTMT" xfId="1320"/>
    <cellStyle name="3_Gia_VLQL48_duyet _Bieu4HTMT_!1 1 bao cao giao KH ve HTCMT vung TNB   12-12-2011" xfId="1321"/>
    <cellStyle name="3_Gia_VLQL48_duyet _Bieu4HTMT_KH TPCP vung TNB (03-1-2012)" xfId="1322"/>
    <cellStyle name="3_Gia_VLQL48_duyet _KH TPCP vung TNB (03-1-2012)" xfId="1323"/>
    <cellStyle name="3_KlQdinhduyet" xfId="1324"/>
    <cellStyle name="3_KlQdinhduyet_!1 1 bao cao giao KH ve HTCMT vung TNB   12-12-2011" xfId="1325"/>
    <cellStyle name="3_KlQdinhduyet_Bieu4HTMT" xfId="1326"/>
    <cellStyle name="3_KlQdinhduyet_Bieu4HTMT_!1 1 bao cao giao KH ve HTCMT vung TNB   12-12-2011" xfId="1327"/>
    <cellStyle name="3_KlQdinhduyet_Bieu4HTMT_KH TPCP vung TNB (03-1-2012)" xfId="1328"/>
    <cellStyle name="3_KlQdinhduyet_KH TPCP vung TNB (03-1-2012)" xfId="1329"/>
    <cellStyle name="3_ÿÿÿÿÿ" xfId="1330"/>
    <cellStyle name="4" xfId="1331"/>
    <cellStyle name="4_Book1" xfId="1332"/>
    <cellStyle name="4_Book1_1" xfId="1333"/>
    <cellStyle name="4_Book1_1_!1 1 bao cao giao KH ve HTCMT vung TNB   12-12-2011" xfId="1334"/>
    <cellStyle name="4_Book1_1_Bieu4HTMT" xfId="1335"/>
    <cellStyle name="4_Book1_1_Bieu4HTMT_!1 1 bao cao giao KH ve HTCMT vung TNB   12-12-2011" xfId="1336"/>
    <cellStyle name="4_Book1_1_Bieu4HTMT_KH TPCP vung TNB (03-1-2012)" xfId="1337"/>
    <cellStyle name="4_Book1_1_KH TPCP vung TNB (03-1-2012)" xfId="1338"/>
    <cellStyle name="4_Cau thuy dien Ban La (Cu Anh)" xfId="1339"/>
    <cellStyle name="4_Cau thuy dien Ban La (Cu Anh)_!1 1 bao cao giao KH ve HTCMT vung TNB   12-12-2011" xfId="1340"/>
    <cellStyle name="4_Cau thuy dien Ban La (Cu Anh)_Bieu4HTMT" xfId="1341"/>
    <cellStyle name="4_Cau thuy dien Ban La (Cu Anh)_Bieu4HTMT_!1 1 bao cao giao KH ve HTCMT vung TNB   12-12-2011" xfId="1342"/>
    <cellStyle name="4_Cau thuy dien Ban La (Cu Anh)_Bieu4HTMT_KH TPCP vung TNB (03-1-2012)" xfId="1343"/>
    <cellStyle name="4_Cau thuy dien Ban La (Cu Anh)_KH TPCP vung TNB (03-1-2012)" xfId="1344"/>
    <cellStyle name="4_Du toan 558 (Km17+508.12 - Km 22)" xfId="1345"/>
    <cellStyle name="4_Du toan 558 (Km17+508.12 - Km 22)_!1 1 bao cao giao KH ve HTCMT vung TNB   12-12-2011" xfId="1346"/>
    <cellStyle name="4_Du toan 558 (Km17+508.12 - Km 22)_Bieu4HTMT" xfId="1347"/>
    <cellStyle name="4_Du toan 558 (Km17+508.12 - Km 22)_Bieu4HTMT_!1 1 bao cao giao KH ve HTCMT vung TNB   12-12-2011" xfId="1348"/>
    <cellStyle name="4_Du toan 558 (Km17+508.12 - Km 22)_Bieu4HTMT_KH TPCP vung TNB (03-1-2012)" xfId="1349"/>
    <cellStyle name="4_Du toan 558 (Km17+508.12 - Km 22)_KH TPCP vung TNB (03-1-2012)" xfId="1350"/>
    <cellStyle name="4_Gia_VLQL48_duyet " xfId="1351"/>
    <cellStyle name="4_Gia_VLQL48_duyet _!1 1 bao cao giao KH ve HTCMT vung TNB   12-12-2011" xfId="1352"/>
    <cellStyle name="4_Gia_VLQL48_duyet _Bieu4HTMT" xfId="1353"/>
    <cellStyle name="4_Gia_VLQL48_duyet _Bieu4HTMT_!1 1 bao cao giao KH ve HTCMT vung TNB   12-12-2011" xfId="1354"/>
    <cellStyle name="4_Gia_VLQL48_duyet _Bieu4HTMT_KH TPCP vung TNB (03-1-2012)" xfId="1355"/>
    <cellStyle name="4_Gia_VLQL48_duyet _KH TPCP vung TNB (03-1-2012)" xfId="1356"/>
    <cellStyle name="4_KlQdinhduyet" xfId="1357"/>
    <cellStyle name="4_KlQdinhduyet_!1 1 bao cao giao KH ve HTCMT vung TNB   12-12-2011" xfId="1358"/>
    <cellStyle name="4_KlQdinhduyet_Bieu4HTMT" xfId="1359"/>
    <cellStyle name="4_KlQdinhduyet_Bieu4HTMT_!1 1 bao cao giao KH ve HTCMT vung TNB   12-12-2011" xfId="1360"/>
    <cellStyle name="4_KlQdinhduyet_Bieu4HTMT_KH TPCP vung TNB (03-1-2012)" xfId="1361"/>
    <cellStyle name="4_KlQdinhduyet_KH TPCP vung TNB (03-1-2012)" xfId="1362"/>
    <cellStyle name="4_ÿÿÿÿÿ" xfId="1363"/>
    <cellStyle name="40% - Accent1 2" xfId="1364"/>
    <cellStyle name="40% - Accent2 2" xfId="1365"/>
    <cellStyle name="40% - Accent3 2" xfId="1366"/>
    <cellStyle name="40% - Accent4 2" xfId="1367"/>
    <cellStyle name="40% - Accent5 2" xfId="1368"/>
    <cellStyle name="40% - Accent6 2" xfId="1369"/>
    <cellStyle name="52" xfId="1370"/>
    <cellStyle name="6" xfId="1371"/>
    <cellStyle name="6_15_10_2013 BC nhu cau von doi ung ODA (2014-2016) ngay 15102013 Sua" xfId="1372"/>
    <cellStyle name="6_BC nhu cau von doi ung ODA nganh NN (BKH)" xfId="1373"/>
    <cellStyle name="6_BC nhu cau von doi ung ODA nganh NN (BKH)_05-12  KH trung han 2016-2020 - Liem Thinh edited" xfId="1374"/>
    <cellStyle name="6_BC nhu cau von doi ung ODA nganh NN (BKH)_Copy of 05-12  KH trung han 2016-2020 - Liem Thinh edited (1)" xfId="1375"/>
    <cellStyle name="6_BC Tai co cau (bieu TH)" xfId="1376"/>
    <cellStyle name="6_BC Tai co cau (bieu TH)_05-12  KH trung han 2016-2020 - Liem Thinh edited" xfId="1377"/>
    <cellStyle name="6_BC Tai co cau (bieu TH)_Copy of 05-12  KH trung han 2016-2020 - Liem Thinh edited (1)" xfId="1378"/>
    <cellStyle name="6_Cong trinh co y kien LD_Dang_NN_2011-Tay nguyen-9-10" xfId="1379"/>
    <cellStyle name="6_Cong trinh co y kien LD_Dang_NN_2011-Tay nguyen-9-10_!1 1 bao cao giao KH ve HTCMT vung TNB   12-12-2011" xfId="1380"/>
    <cellStyle name="6_Cong trinh co y kien LD_Dang_NN_2011-Tay nguyen-9-10_Bieu4HTMT" xfId="1381"/>
    <cellStyle name="6_Cong trinh co y kien LD_Dang_NN_2011-Tay nguyen-9-10_Bieu4HTMT_!1 1 bao cao giao KH ve HTCMT vung TNB   12-12-2011" xfId="1382"/>
    <cellStyle name="6_Cong trinh co y kien LD_Dang_NN_2011-Tay nguyen-9-10_Bieu4HTMT_KH TPCP vung TNB (03-1-2012)" xfId="1383"/>
    <cellStyle name="6_Cong trinh co y kien LD_Dang_NN_2011-Tay nguyen-9-10_KH TPCP vung TNB (03-1-2012)" xfId="1384"/>
    <cellStyle name="6_DK 2014-2015 final" xfId="1385"/>
    <cellStyle name="6_DK 2014-2015 final_05-12  KH trung han 2016-2020 - Liem Thinh edited" xfId="1386"/>
    <cellStyle name="6_DK 2014-2015 final_Copy of 05-12  KH trung han 2016-2020 - Liem Thinh edited (1)" xfId="1387"/>
    <cellStyle name="6_DK 2014-2015 new" xfId="1388"/>
    <cellStyle name="6_DK 2014-2015 new_05-12  KH trung han 2016-2020 - Liem Thinh edited" xfId="1389"/>
    <cellStyle name="6_DK 2014-2015 new_Copy of 05-12  KH trung han 2016-2020 - Liem Thinh edited (1)" xfId="1390"/>
    <cellStyle name="6_DK KH CBDT 2014 11-11-2013" xfId="1391"/>
    <cellStyle name="6_DK KH CBDT 2014 11-11-2013(1)" xfId="1392"/>
    <cellStyle name="6_DK KH CBDT 2014 11-11-2013(1)_05-12  KH trung han 2016-2020 - Liem Thinh edited" xfId="1393"/>
    <cellStyle name="6_DK KH CBDT 2014 11-11-2013(1)_Copy of 05-12  KH trung han 2016-2020 - Liem Thinh edited (1)" xfId="1394"/>
    <cellStyle name="6_DK KH CBDT 2014 11-11-2013_05-12  KH trung han 2016-2020 - Liem Thinh edited" xfId="1395"/>
    <cellStyle name="6_DK KH CBDT 2014 11-11-2013_Copy of 05-12  KH trung han 2016-2020 - Liem Thinh edited (1)" xfId="1396"/>
    <cellStyle name="6_KH 2011-2015" xfId="1397"/>
    <cellStyle name="6_tai co cau dau tu (tong hop)1" xfId="1398"/>
    <cellStyle name="6_TN - Ho tro khac 2011" xfId="1399"/>
    <cellStyle name="6_TN - Ho tro khac 2011_!1 1 bao cao giao KH ve HTCMT vung TNB   12-12-2011" xfId="1400"/>
    <cellStyle name="6_TN - Ho tro khac 2011_Bieu4HTMT" xfId="1401"/>
    <cellStyle name="6_TN - Ho tro khac 2011_Bieu4HTMT_!1 1 bao cao giao KH ve HTCMT vung TNB   12-12-2011" xfId="1402"/>
    <cellStyle name="6_TN - Ho tro khac 2011_Bieu4HTMT_KH TPCP vung TNB (03-1-2012)" xfId="1403"/>
    <cellStyle name="6_TN - Ho tro khac 2011_KH TPCP vung TNB (03-1-2012)" xfId="1404"/>
    <cellStyle name="60% - Accent1 2" xfId="1405"/>
    <cellStyle name="60% - Accent2 2" xfId="1406"/>
    <cellStyle name="60% - Accent3 2" xfId="1407"/>
    <cellStyle name="60% - Accent4 2" xfId="1408"/>
    <cellStyle name="60% - Accent5 2" xfId="1409"/>
    <cellStyle name="60% - Accent6 2" xfId="1410"/>
    <cellStyle name="9" xfId="1411"/>
    <cellStyle name="9_!1 1 bao cao giao KH ve HTCMT vung TNB   12-12-2011" xfId="1412"/>
    <cellStyle name="9_Bieu4HTMT" xfId="1413"/>
    <cellStyle name="9_Bieu4HTMT_!1 1 bao cao giao KH ve HTCMT vung TNB   12-12-2011" xfId="1414"/>
    <cellStyle name="9_Bieu4HTMT_KH TPCP vung TNB (03-1-2012)" xfId="1415"/>
    <cellStyle name="9_KH TPCP vung TNB (03-1-2012)" xfId="1416"/>
    <cellStyle name="Accent1 2" xfId="1417"/>
    <cellStyle name="Accent2 2" xfId="1418"/>
    <cellStyle name="Accent3 2" xfId="1419"/>
    <cellStyle name="Accent4 2" xfId="1420"/>
    <cellStyle name="Accent5 2" xfId="1421"/>
    <cellStyle name="Accent6 2" xfId="1422"/>
    <cellStyle name="ÅëÈ­ [0]_      " xfId="1423"/>
    <cellStyle name="AeE­ [0]_INQUIRY ¿?¾÷AßAø " xfId="1424"/>
    <cellStyle name="ÅëÈ­ [0]_L601CPT" xfId="1425"/>
    <cellStyle name="ÅëÈ­_      " xfId="1426"/>
    <cellStyle name="AeE­_INQUIRY ¿?¾÷AßAø " xfId="1427"/>
    <cellStyle name="ÅëÈ­_L601CPT" xfId="1428"/>
    <cellStyle name="args.style" xfId="1429"/>
    <cellStyle name="args.style 2" xfId="1430"/>
    <cellStyle name="at" xfId="1431"/>
    <cellStyle name="ÄÞ¸¶ [0]_      " xfId="1432"/>
    <cellStyle name="AÞ¸¶ [0]_INQUIRY ¿?¾÷AßAø " xfId="1433"/>
    <cellStyle name="ÄÞ¸¶ [0]_L601CPT" xfId="1434"/>
    <cellStyle name="ÄÞ¸¶_      " xfId="1435"/>
    <cellStyle name="AÞ¸¶_INQUIRY ¿?¾÷AßAø " xfId="1436"/>
    <cellStyle name="ÄÞ¸¶_L601CPT" xfId="1437"/>
    <cellStyle name="AutoFormat Options" xfId="1438"/>
    <cellStyle name="AutoFormat Options 2" xfId="1439"/>
    <cellStyle name="Bad 2" xfId="1440"/>
    <cellStyle name="Bangchu" xfId="1441"/>
    <cellStyle name="Bình thường 2" xfId="3"/>
    <cellStyle name="Bình thường 2 2" xfId="16"/>
    <cellStyle name="Bình thường 2 9" xfId="42"/>
    <cellStyle name="Bình thường 3" xfId="19"/>
    <cellStyle name="Bình thường 4" xfId="20"/>
    <cellStyle name="Bình thường 5" xfId="35"/>
    <cellStyle name="Body" xfId="1442"/>
    <cellStyle name="C?AØ_¿?¾÷CoE² " xfId="1443"/>
    <cellStyle name="C~1" xfId="1444"/>
    <cellStyle name="Ç¥ÁØ_      " xfId="1445"/>
    <cellStyle name="C￥AØ_¿μ¾÷CoE² " xfId="1446"/>
    <cellStyle name="Ç¥ÁØ_±¸¹Ì´ëÃ¥" xfId="1447"/>
    <cellStyle name="C￥AØ_Sheet1_¿μ¾÷CoE² " xfId="1448"/>
    <cellStyle name="Ç¥ÁØ_ÿÿÿÿÿÿ_4_ÃÑÇÕ°è " xfId="1449"/>
    <cellStyle name="Calc Currency (0)" xfId="1450"/>
    <cellStyle name="Calc Currency (0) 2" xfId="1451"/>
    <cellStyle name="Calc Currency (2)" xfId="1452"/>
    <cellStyle name="Calc Currency (2) 10" xfId="1453"/>
    <cellStyle name="Calc Currency (2) 11" xfId="1454"/>
    <cellStyle name="Calc Currency (2) 12" xfId="1455"/>
    <cellStyle name="Calc Currency (2) 13" xfId="1456"/>
    <cellStyle name="Calc Currency (2) 14" xfId="1457"/>
    <cellStyle name="Calc Currency (2) 15" xfId="1458"/>
    <cellStyle name="Calc Currency (2) 16" xfId="1459"/>
    <cellStyle name="Calc Currency (2) 2" xfId="1460"/>
    <cellStyle name="Calc Currency (2) 3" xfId="1461"/>
    <cellStyle name="Calc Currency (2) 4" xfId="1462"/>
    <cellStyle name="Calc Currency (2) 5" xfId="1463"/>
    <cellStyle name="Calc Currency (2) 6" xfId="1464"/>
    <cellStyle name="Calc Currency (2) 7" xfId="1465"/>
    <cellStyle name="Calc Currency (2) 8" xfId="1466"/>
    <cellStyle name="Calc Currency (2) 9" xfId="1467"/>
    <cellStyle name="Calc Percent (0)" xfId="1468"/>
    <cellStyle name="Calc Percent (0) 10" xfId="1469"/>
    <cellStyle name="Calc Percent (0) 11" xfId="1470"/>
    <cellStyle name="Calc Percent (0) 12" xfId="1471"/>
    <cellStyle name="Calc Percent (0) 13" xfId="1472"/>
    <cellStyle name="Calc Percent (0) 14" xfId="1473"/>
    <cellStyle name="Calc Percent (0) 15" xfId="1474"/>
    <cellStyle name="Calc Percent (0) 16" xfId="1475"/>
    <cellStyle name="Calc Percent (0) 2" xfId="1476"/>
    <cellStyle name="Calc Percent (0) 3" xfId="1477"/>
    <cellStyle name="Calc Percent (0) 4" xfId="1478"/>
    <cellStyle name="Calc Percent (0) 5" xfId="1479"/>
    <cellStyle name="Calc Percent (0) 6" xfId="1480"/>
    <cellStyle name="Calc Percent (0) 7" xfId="1481"/>
    <cellStyle name="Calc Percent (0) 8" xfId="1482"/>
    <cellStyle name="Calc Percent (0) 9" xfId="1483"/>
    <cellStyle name="Calc Percent (1)" xfId="1484"/>
    <cellStyle name="Calc Percent (1) 10" xfId="1485"/>
    <cellStyle name="Calc Percent (1) 11" xfId="1486"/>
    <cellStyle name="Calc Percent (1) 12" xfId="1487"/>
    <cellStyle name="Calc Percent (1) 13" xfId="1488"/>
    <cellStyle name="Calc Percent (1) 14" xfId="1489"/>
    <cellStyle name="Calc Percent (1) 15" xfId="1490"/>
    <cellStyle name="Calc Percent (1) 16" xfId="1491"/>
    <cellStyle name="Calc Percent (1) 2" xfId="1492"/>
    <cellStyle name="Calc Percent (1) 3" xfId="1493"/>
    <cellStyle name="Calc Percent (1) 4" xfId="1494"/>
    <cellStyle name="Calc Percent (1) 5" xfId="1495"/>
    <cellStyle name="Calc Percent (1) 6" xfId="1496"/>
    <cellStyle name="Calc Percent (1) 7" xfId="1497"/>
    <cellStyle name="Calc Percent (1) 8" xfId="1498"/>
    <cellStyle name="Calc Percent (1) 9" xfId="1499"/>
    <cellStyle name="Calc Percent (2)" xfId="1500"/>
    <cellStyle name="Calc Percent (2) 10" xfId="1501"/>
    <cellStyle name="Calc Percent (2) 11" xfId="1502"/>
    <cellStyle name="Calc Percent (2) 12" xfId="1503"/>
    <cellStyle name="Calc Percent (2) 13" xfId="1504"/>
    <cellStyle name="Calc Percent (2) 14" xfId="1505"/>
    <cellStyle name="Calc Percent (2) 15" xfId="1506"/>
    <cellStyle name="Calc Percent (2) 16" xfId="1507"/>
    <cellStyle name="Calc Percent (2) 2" xfId="1508"/>
    <cellStyle name="Calc Percent (2) 3" xfId="1509"/>
    <cellStyle name="Calc Percent (2) 4" xfId="1510"/>
    <cellStyle name="Calc Percent (2) 5" xfId="1511"/>
    <cellStyle name="Calc Percent (2) 6" xfId="1512"/>
    <cellStyle name="Calc Percent (2) 7" xfId="1513"/>
    <cellStyle name="Calc Percent (2) 8" xfId="1514"/>
    <cellStyle name="Calc Percent (2) 9" xfId="1515"/>
    <cellStyle name="Calc Units (0)" xfId="1516"/>
    <cellStyle name="Calc Units (0) 10" xfId="1517"/>
    <cellStyle name="Calc Units (0) 11" xfId="1518"/>
    <cellStyle name="Calc Units (0) 12" xfId="1519"/>
    <cellStyle name="Calc Units (0) 13" xfId="1520"/>
    <cellStyle name="Calc Units (0) 14" xfId="1521"/>
    <cellStyle name="Calc Units (0) 15" xfId="1522"/>
    <cellStyle name="Calc Units (0) 16" xfId="1523"/>
    <cellStyle name="Calc Units (0) 2" xfId="1524"/>
    <cellStyle name="Calc Units (0) 3" xfId="1525"/>
    <cellStyle name="Calc Units (0) 4" xfId="1526"/>
    <cellStyle name="Calc Units (0) 5" xfId="1527"/>
    <cellStyle name="Calc Units (0) 6" xfId="1528"/>
    <cellStyle name="Calc Units (0) 7" xfId="1529"/>
    <cellStyle name="Calc Units (0) 8" xfId="1530"/>
    <cellStyle name="Calc Units (0) 9" xfId="1531"/>
    <cellStyle name="Calc Units (1)" xfId="1532"/>
    <cellStyle name="Calc Units (1) 10" xfId="1533"/>
    <cellStyle name="Calc Units (1) 11" xfId="1534"/>
    <cellStyle name="Calc Units (1) 12" xfId="1535"/>
    <cellStyle name="Calc Units (1) 13" xfId="1536"/>
    <cellStyle name="Calc Units (1) 14" xfId="1537"/>
    <cellStyle name="Calc Units (1) 15" xfId="1538"/>
    <cellStyle name="Calc Units (1) 16" xfId="1539"/>
    <cellStyle name="Calc Units (1) 2" xfId="1540"/>
    <cellStyle name="Calc Units (1) 3" xfId="1541"/>
    <cellStyle name="Calc Units (1) 4" xfId="1542"/>
    <cellStyle name="Calc Units (1) 5" xfId="1543"/>
    <cellStyle name="Calc Units (1) 6" xfId="1544"/>
    <cellStyle name="Calc Units (1) 7" xfId="1545"/>
    <cellStyle name="Calc Units (1) 8" xfId="1546"/>
    <cellStyle name="Calc Units (1) 9" xfId="1547"/>
    <cellStyle name="Calc Units (2)" xfId="1548"/>
    <cellStyle name="Calc Units (2) 10" xfId="1549"/>
    <cellStyle name="Calc Units (2) 11" xfId="1550"/>
    <cellStyle name="Calc Units (2) 12" xfId="1551"/>
    <cellStyle name="Calc Units (2) 13" xfId="1552"/>
    <cellStyle name="Calc Units (2) 14" xfId="1553"/>
    <cellStyle name="Calc Units (2) 15" xfId="1554"/>
    <cellStyle name="Calc Units (2) 16" xfId="1555"/>
    <cellStyle name="Calc Units (2) 2" xfId="1556"/>
    <cellStyle name="Calc Units (2) 3" xfId="1557"/>
    <cellStyle name="Calc Units (2) 4" xfId="1558"/>
    <cellStyle name="Calc Units (2) 5" xfId="1559"/>
    <cellStyle name="Calc Units (2) 6" xfId="1560"/>
    <cellStyle name="Calc Units (2) 7" xfId="1561"/>
    <cellStyle name="Calc Units (2) 8" xfId="1562"/>
    <cellStyle name="Calc Units (2) 9" xfId="1563"/>
    <cellStyle name="Calculation 2" xfId="1564"/>
    <cellStyle name="category" xfId="1565"/>
    <cellStyle name="category 2" xfId="1566"/>
    <cellStyle name="Centered Heading" xfId="1567"/>
    <cellStyle name="Cerrency_Sheet2_XANGDAU" xfId="1568"/>
    <cellStyle name="Check Cell 2" xfId="1569"/>
    <cellStyle name="Check Cell 2 2" xfId="1570"/>
    <cellStyle name="Chi phÝ kh¸c_Book1" xfId="1571"/>
    <cellStyle name="Chuẩn" xfId="0" builtinId="0"/>
    <cellStyle name="Chuẩn 14" xfId="41"/>
    <cellStyle name="Chuẩn 2" xfId="6"/>
    <cellStyle name="Chuẩn 2 2" xfId="10"/>
    <cellStyle name="Chuẩn 2 2 5" xfId="31"/>
    <cellStyle name="Chuẩn 2 2 6" xfId="32"/>
    <cellStyle name="Chuẩn 2 2 7" xfId="37"/>
    <cellStyle name="Chuẩn 2 3" xfId="26"/>
    <cellStyle name="Chuẩn 2 4" xfId="29"/>
    <cellStyle name="Chuẩn 2 5" xfId="30"/>
    <cellStyle name="Chuẩn 2 6" xfId="33"/>
    <cellStyle name="Chuẩn 3" xfId="34"/>
    <cellStyle name="Chuẩn 5" xfId="11"/>
    <cellStyle name="Chuẩn 7" xfId="5238"/>
    <cellStyle name="CHUONG" xfId="1572"/>
    <cellStyle name="Column_Title" xfId="1573"/>
    <cellStyle name="Comma  - Style1" xfId="1574"/>
    <cellStyle name="Comma  - Style2" xfId="1575"/>
    <cellStyle name="Comma  - Style3" xfId="1576"/>
    <cellStyle name="Comma  - Style4" xfId="1577"/>
    <cellStyle name="Comma  - Style5" xfId="1578"/>
    <cellStyle name="Comma  - Style6" xfId="1579"/>
    <cellStyle name="Comma  - Style7" xfId="1580"/>
    <cellStyle name="Comma  - Style8" xfId="1581"/>
    <cellStyle name="Comma %" xfId="1582"/>
    <cellStyle name="Comma % 10" xfId="1583"/>
    <cellStyle name="Comma % 11" xfId="1584"/>
    <cellStyle name="Comma % 12" xfId="1585"/>
    <cellStyle name="Comma % 13" xfId="1586"/>
    <cellStyle name="Comma % 14" xfId="1587"/>
    <cellStyle name="Comma % 15" xfId="1588"/>
    <cellStyle name="Comma % 2" xfId="1589"/>
    <cellStyle name="Comma % 3" xfId="1590"/>
    <cellStyle name="Comma % 4" xfId="1591"/>
    <cellStyle name="Comma % 5" xfId="1592"/>
    <cellStyle name="Comma % 6" xfId="1593"/>
    <cellStyle name="Comma % 7" xfId="1594"/>
    <cellStyle name="Comma % 8" xfId="1595"/>
    <cellStyle name="Comma % 9" xfId="1596"/>
    <cellStyle name="Comma [0] 10" xfId="1597"/>
    <cellStyle name="Comma [0] 11" xfId="1598"/>
    <cellStyle name="Comma [0] 11 2" xfId="1599"/>
    <cellStyle name="Comma [0] 12" xfId="1600"/>
    <cellStyle name="Comma [0] 12 2" xfId="1601"/>
    <cellStyle name="Comma [0] 2" xfId="23"/>
    <cellStyle name="Comma [0] 2 10" xfId="1603"/>
    <cellStyle name="Comma [0] 2 11" xfId="1604"/>
    <cellStyle name="Comma [0] 2 12" xfId="1605"/>
    <cellStyle name="Comma [0] 2 13" xfId="1606"/>
    <cellStyle name="Comma [0] 2 14" xfId="1607"/>
    <cellStyle name="Comma [0] 2 15" xfId="1608"/>
    <cellStyle name="Comma [0] 2 16" xfId="1609"/>
    <cellStyle name="Comma [0] 2 17" xfId="1610"/>
    <cellStyle name="Comma [0] 2 18" xfId="1611"/>
    <cellStyle name="Comma [0] 2 19" xfId="1612"/>
    <cellStyle name="Comma [0] 2 2" xfId="1613"/>
    <cellStyle name="Comma [0] 2 2 2" xfId="1614"/>
    <cellStyle name="Comma [0] 2 2 3" xfId="1615"/>
    <cellStyle name="Comma [0] 2 2 3 2" xfId="1616"/>
    <cellStyle name="Comma [0] 2 2 3 2 2" xfId="1617"/>
    <cellStyle name="Comma [0] 2 2 3 2 2 2" xfId="1618"/>
    <cellStyle name="Comma [0] 2 2 3 2 2 3" xfId="1619"/>
    <cellStyle name="Comma [0] 2 2 3 2 3" xfId="1620"/>
    <cellStyle name="Comma [0] 2 2 3 2 4" xfId="1621"/>
    <cellStyle name="Comma [0] 2 2 3 3" xfId="1622"/>
    <cellStyle name="Comma [0] 2 2 3 3 2" xfId="1623"/>
    <cellStyle name="Comma [0] 2 2 3 3 3" xfId="1624"/>
    <cellStyle name="Comma [0] 2 2 3 4" xfId="1625"/>
    <cellStyle name="Comma [0] 2 2 3 5" xfId="1626"/>
    <cellStyle name="Comma [0] 2 2 4" xfId="1627"/>
    <cellStyle name="Comma [0] 2 2 4 2" xfId="1628"/>
    <cellStyle name="Comma [0] 2 2 4 2 2" xfId="1629"/>
    <cellStyle name="Comma [0] 2 2 4 2 3" xfId="1630"/>
    <cellStyle name="Comma [0] 2 2 4 3" xfId="1631"/>
    <cellStyle name="Comma [0] 2 2 4 4" xfId="1632"/>
    <cellStyle name="Comma [0] 2 20" xfId="1633"/>
    <cellStyle name="Comma [0] 2 21" xfId="1634"/>
    <cellStyle name="Comma [0] 2 22" xfId="1635"/>
    <cellStyle name="Comma [0] 2 23" xfId="1636"/>
    <cellStyle name="Comma [0] 2 24" xfId="1637"/>
    <cellStyle name="Comma [0] 2 25" xfId="1638"/>
    <cellStyle name="Comma [0] 2 26" xfId="1639"/>
    <cellStyle name="Comma [0] 2 27" xfId="1602"/>
    <cellStyle name="Comma [0] 2 3" xfId="1640"/>
    <cellStyle name="Comma [0] 2 4" xfId="1641"/>
    <cellStyle name="Comma [0] 2 5" xfId="1642"/>
    <cellStyle name="Comma [0] 2 6" xfId="1643"/>
    <cellStyle name="Comma [0] 2 7" xfId="1644"/>
    <cellStyle name="Comma [0] 2 8" xfId="1645"/>
    <cellStyle name="Comma [0] 2 9" xfId="1646"/>
    <cellStyle name="Comma [0] 2_05-12  KH trung han 2016-2020 - Liem Thinh edited" xfId="1647"/>
    <cellStyle name="Comma [0] 3" xfId="1648"/>
    <cellStyle name="Comma [0] 3 2" xfId="1649"/>
    <cellStyle name="Comma [0] 3 2 2" xfId="1650"/>
    <cellStyle name="Comma [0] 3 3" xfId="1651"/>
    <cellStyle name="Comma [0] 4" xfId="1652"/>
    <cellStyle name="Comma [0] 5" xfId="1653"/>
    <cellStyle name="Comma [0] 6" xfId="1654"/>
    <cellStyle name="Comma [0] 7" xfId="1655"/>
    <cellStyle name="Comma [0] 8" xfId="1656"/>
    <cellStyle name="Comma [0] 9" xfId="1657"/>
    <cellStyle name="Comma [00]" xfId="1658"/>
    <cellStyle name="Comma [00] 10" xfId="1659"/>
    <cellStyle name="Comma [00] 11" xfId="1660"/>
    <cellStyle name="Comma [00] 12" xfId="1661"/>
    <cellStyle name="Comma [00] 13" xfId="1662"/>
    <cellStyle name="Comma [00] 14" xfId="1663"/>
    <cellStyle name="Comma [00] 15" xfId="1664"/>
    <cellStyle name="Comma [00] 16" xfId="1665"/>
    <cellStyle name="Comma [00] 2" xfId="1666"/>
    <cellStyle name="Comma [00] 3" xfId="1667"/>
    <cellStyle name="Comma [00] 4" xfId="1668"/>
    <cellStyle name="Comma [00] 5" xfId="1669"/>
    <cellStyle name="Comma [00] 6" xfId="1670"/>
    <cellStyle name="Comma [00] 7" xfId="1671"/>
    <cellStyle name="Comma [00] 8" xfId="1672"/>
    <cellStyle name="Comma [00] 9" xfId="1673"/>
    <cellStyle name="Comma 0.0" xfId="1674"/>
    <cellStyle name="Comma 0.0%" xfId="1675"/>
    <cellStyle name="Comma 0.00" xfId="1676"/>
    <cellStyle name="Comma 0.00%" xfId="1677"/>
    <cellStyle name="Comma 0.000" xfId="1678"/>
    <cellStyle name="Comma 0.000%" xfId="1679"/>
    <cellStyle name="Comma 10" xfId="1680"/>
    <cellStyle name="Comma 10 10" xfId="1681"/>
    <cellStyle name="Comma 10 10 10" xfId="1682"/>
    <cellStyle name="Comma 10 10 2" xfId="1683"/>
    <cellStyle name="Comma 10 10 2 2" xfId="1684"/>
    <cellStyle name="Comma 10 10 2 3" xfId="1685"/>
    <cellStyle name="Comma 10 10 2 4" xfId="1686"/>
    <cellStyle name="Comma 10 10 3" xfId="1687"/>
    <cellStyle name="Comma 10 10 4" xfId="1688"/>
    <cellStyle name="Comma 10 10 5" xfId="1689"/>
    <cellStyle name="Comma 10 2" xfId="1690"/>
    <cellStyle name="Comma 10 2 2" xfId="1691"/>
    <cellStyle name="Comma 10 3" xfId="1692"/>
    <cellStyle name="Comma 10 3 2" xfId="1693"/>
    <cellStyle name="Comma 10 3 3 2" xfId="1694"/>
    <cellStyle name="Comma 10 4" xfId="1695"/>
    <cellStyle name="Comma 11" xfId="1696"/>
    <cellStyle name="Comma 11 2" xfId="1697"/>
    <cellStyle name="Comma 11 3" xfId="1698"/>
    <cellStyle name="Comma 12" xfId="1699"/>
    <cellStyle name="Comma 12 2" xfId="1700"/>
    <cellStyle name="Comma 12 2 2" xfId="1701"/>
    <cellStyle name="Comma 12 3" xfId="1702"/>
    <cellStyle name="Comma 13" xfId="1703"/>
    <cellStyle name="Comma 13 2" xfId="1704"/>
    <cellStyle name="Comma 13 2 2" xfId="1705"/>
    <cellStyle name="Comma 13 2 2 2" xfId="1706"/>
    <cellStyle name="Comma 13 2 2 2 2 2 4" xfId="1707"/>
    <cellStyle name="Comma 13 2 2 3" xfId="1708"/>
    <cellStyle name="Comma 13 2 2 4" xfId="1709"/>
    <cellStyle name="Comma 13 2 2 4 2" xfId="1710"/>
    <cellStyle name="Comma 13 2 3" xfId="1711"/>
    <cellStyle name="Comma 13 2 3 2" xfId="1712"/>
    <cellStyle name="Comma 13 2 4" xfId="1713"/>
    <cellStyle name="Comma 13 2 5" xfId="1714"/>
    <cellStyle name="Comma 13 3" xfId="1715"/>
    <cellStyle name="Comma 13 4" xfId="1716"/>
    <cellStyle name="Comma 14" xfId="1717"/>
    <cellStyle name="Comma 14 2" xfId="1718"/>
    <cellStyle name="Comma 14 2 2" xfId="1719"/>
    <cellStyle name="Comma 14 3" xfId="1720"/>
    <cellStyle name="Comma 15" xfId="1721"/>
    <cellStyle name="Comma 15 2" xfId="1722"/>
    <cellStyle name="Comma 15 3" xfId="1723"/>
    <cellStyle name="Comma 16" xfId="1724"/>
    <cellStyle name="Comma 16 2" xfId="1725"/>
    <cellStyle name="Comma 16 3" xfId="1726"/>
    <cellStyle name="Comma 16 3 2" xfId="1727"/>
    <cellStyle name="Comma 16 3 2 2" xfId="1728"/>
    <cellStyle name="Comma 16 3 2 2 2" xfId="1729"/>
    <cellStyle name="Comma 16 3 2 2 2 2" xfId="1730"/>
    <cellStyle name="Comma 16 3 2 2 2 3" xfId="1731"/>
    <cellStyle name="Comma 16 3 2 2 3" xfId="1732"/>
    <cellStyle name="Comma 16 3 2 2 4" xfId="1733"/>
    <cellStyle name="Comma 16 3 2 3" xfId="1734"/>
    <cellStyle name="Comma 16 3 2 3 2" xfId="1735"/>
    <cellStyle name="Comma 16 3 2 3 3" xfId="1736"/>
    <cellStyle name="Comma 16 3 2 4" xfId="1737"/>
    <cellStyle name="Comma 16 3 2 5" xfId="1738"/>
    <cellStyle name="Comma 16 3 2 6 2 2 2" xfId="1739"/>
    <cellStyle name="Comma 16 3 2 6 2 2 2 2" xfId="1740"/>
    <cellStyle name="Comma 16 3 3" xfId="1741"/>
    <cellStyle name="Comma 16 3 3 2" xfId="1742"/>
    <cellStyle name="Comma 16 3 3 2 2" xfId="1743"/>
    <cellStyle name="Comma 16 3 3 2 2 2" xfId="1744"/>
    <cellStyle name="Comma 16 3 3 2 2 3" xfId="1745"/>
    <cellStyle name="Comma 16 3 3 2 3" xfId="1746"/>
    <cellStyle name="Comma 16 3 3 2 4" xfId="1747"/>
    <cellStyle name="Comma 16 3 3 3" xfId="1748"/>
    <cellStyle name="Comma 16 3 3 3 2" xfId="1749"/>
    <cellStyle name="Comma 16 3 3 3 3" xfId="1750"/>
    <cellStyle name="Comma 16 3 3 4" xfId="1751"/>
    <cellStyle name="Comma 16 3 3 5" xfId="1752"/>
    <cellStyle name="Comma 16 3 4" xfId="1753"/>
    <cellStyle name="Comma 16 3 4 2" xfId="1754"/>
    <cellStyle name="Comma 16 3 4 2 2" xfId="1755"/>
    <cellStyle name="Comma 16 3 4 2 3" xfId="1756"/>
    <cellStyle name="Comma 16 3 4 3" xfId="1757"/>
    <cellStyle name="Comma 16 3 4 4" xfId="1758"/>
    <cellStyle name="Comma 16 3 5" xfId="1759"/>
    <cellStyle name="Comma 16 3 5 2" xfId="1760"/>
    <cellStyle name="Comma 16 3 5 3" xfId="1761"/>
    <cellStyle name="Comma 16 3 6" xfId="1762"/>
    <cellStyle name="Comma 16 3 7" xfId="1763"/>
    <cellStyle name="Comma 17" xfId="1764"/>
    <cellStyle name="Comma 17 2" xfId="1765"/>
    <cellStyle name="Comma 17 3" xfId="1766"/>
    <cellStyle name="Comma 17 4" xfId="1767"/>
    <cellStyle name="Comma 18" xfId="1768"/>
    <cellStyle name="Comma 18 2" xfId="1769"/>
    <cellStyle name="Comma 18 3" xfId="1770"/>
    <cellStyle name="Comma 19" xfId="1771"/>
    <cellStyle name="Comma 19 2" xfId="1772"/>
    <cellStyle name="Comma 2" xfId="1773"/>
    <cellStyle name="Comma 2 10" xfId="1774"/>
    <cellStyle name="Comma 2 11" xfId="1775"/>
    <cellStyle name="Comma 2 12" xfId="1776"/>
    <cellStyle name="Comma 2 13" xfId="1777"/>
    <cellStyle name="Comma 2 14" xfId="1778"/>
    <cellStyle name="Comma 2 15" xfId="1779"/>
    <cellStyle name="Comma 2 16" xfId="1780"/>
    <cellStyle name="Comma 2 17" xfId="1781"/>
    <cellStyle name="Comma 2 18" xfId="1782"/>
    <cellStyle name="Comma 2 19" xfId="1783"/>
    <cellStyle name="Comma 2 2" xfId="1784"/>
    <cellStyle name="Comma 2 2 10" xfId="1785"/>
    <cellStyle name="Comma 2 2 11" xfId="1786"/>
    <cellStyle name="Comma 2 2 12" xfId="1787"/>
    <cellStyle name="Comma 2 2 13" xfId="1788"/>
    <cellStyle name="Comma 2 2 14" xfId="1789"/>
    <cellStyle name="Comma 2 2 15" xfId="1790"/>
    <cellStyle name="Comma 2 2 16" xfId="1791"/>
    <cellStyle name="Comma 2 2 17" xfId="1792"/>
    <cellStyle name="Comma 2 2 18" xfId="1793"/>
    <cellStyle name="Comma 2 2 19" xfId="1794"/>
    <cellStyle name="Comma 2 2 2" xfId="1795"/>
    <cellStyle name="Comma 2 2 2 10" xfId="1796"/>
    <cellStyle name="Comma 2 2 2 11" xfId="1797"/>
    <cellStyle name="Comma 2 2 2 12" xfId="1798"/>
    <cellStyle name="Comma 2 2 2 13" xfId="1799"/>
    <cellStyle name="Comma 2 2 2 14" xfId="1800"/>
    <cellStyle name="Comma 2 2 2 15" xfId="1801"/>
    <cellStyle name="Comma 2 2 2 16" xfId="1802"/>
    <cellStyle name="Comma 2 2 2 17" xfId="1803"/>
    <cellStyle name="Comma 2 2 2 18" xfId="1804"/>
    <cellStyle name="Comma 2 2 2 19" xfId="1805"/>
    <cellStyle name="Comma 2 2 2 2" xfId="1806"/>
    <cellStyle name="Comma 2 2 2 2 2 2" xfId="1807"/>
    <cellStyle name="Comma 2 2 2 20" xfId="1808"/>
    <cellStyle name="Comma 2 2 2 21" xfId="1809"/>
    <cellStyle name="Comma 2 2 2 22" xfId="1810"/>
    <cellStyle name="Comma 2 2 2 23" xfId="1811"/>
    <cellStyle name="Comma 2 2 2 24" xfId="1812"/>
    <cellStyle name="Comma 2 2 2 3" xfId="1813"/>
    <cellStyle name="Comma 2 2 2 4" xfId="1814"/>
    <cellStyle name="Comma 2 2 2 5" xfId="1815"/>
    <cellStyle name="Comma 2 2 2 6" xfId="1816"/>
    <cellStyle name="Comma 2 2 2 7" xfId="1817"/>
    <cellStyle name="Comma 2 2 2 8" xfId="1818"/>
    <cellStyle name="Comma 2 2 2 9" xfId="1819"/>
    <cellStyle name="Comma 2 2 20" xfId="1820"/>
    <cellStyle name="Comma 2 2 21" xfId="1821"/>
    <cellStyle name="Comma 2 2 22" xfId="1822"/>
    <cellStyle name="Comma 2 2 23" xfId="1823"/>
    <cellStyle name="Comma 2 2 24" xfId="1824"/>
    <cellStyle name="Comma 2 2 25" xfId="1825"/>
    <cellStyle name="Comma 2 2 3" xfId="1826"/>
    <cellStyle name="Comma 2 2 4" xfId="1827"/>
    <cellStyle name="Comma 2 2 5" xfId="1828"/>
    <cellStyle name="Comma 2 2 6" xfId="1829"/>
    <cellStyle name="Comma 2 2 7" xfId="1830"/>
    <cellStyle name="Comma 2 2 8" xfId="1831"/>
    <cellStyle name="Comma 2 2 9" xfId="1832"/>
    <cellStyle name="Comma 2 2_05-12  KH trung han 2016-2020 - Liem Thinh edited" xfId="1833"/>
    <cellStyle name="Comma 2 20" xfId="1834"/>
    <cellStyle name="Comma 2 21" xfId="1835"/>
    <cellStyle name="Comma 2 22" xfId="1836"/>
    <cellStyle name="Comma 2 23" xfId="1837"/>
    <cellStyle name="Comma 2 24" xfId="1838"/>
    <cellStyle name="Comma 2 25" xfId="1839"/>
    <cellStyle name="Comma 2 26" xfId="1840"/>
    <cellStyle name="Comma 2 27" xfId="1841"/>
    <cellStyle name="Comma 2 28" xfId="1842"/>
    <cellStyle name="Comma 2 29" xfId="1843"/>
    <cellStyle name="Comma 2 3" xfId="9"/>
    <cellStyle name="Comma 2 3 2" xfId="1845"/>
    <cellStyle name="Comma 2 3 2 11 5" xfId="1846"/>
    <cellStyle name="Comma 2 3 2 2" xfId="1847"/>
    <cellStyle name="Comma 2 3 2 3" xfId="1848"/>
    <cellStyle name="Comma 2 3 2 7 9" xfId="1849"/>
    <cellStyle name="Comma 2 3 3" xfId="1850"/>
    <cellStyle name="Comma 2 3 4" xfId="1844"/>
    <cellStyle name="Comma 2 30" xfId="1851"/>
    <cellStyle name="Comma 2 31" xfId="1852"/>
    <cellStyle name="Comma 2 32" xfId="1853"/>
    <cellStyle name="Comma 2 4" xfId="1854"/>
    <cellStyle name="Comma 2 4 2" xfId="1855"/>
    <cellStyle name="Comma 2 5" xfId="1856"/>
    <cellStyle name="Comma 2 5 2" xfId="1857"/>
    <cellStyle name="Comma 2 5 3" xfId="1858"/>
    <cellStyle name="Comma 2 6" xfId="40"/>
    <cellStyle name="Comma 2 6 2" xfId="1859"/>
    <cellStyle name="Comma 2 7" xfId="1860"/>
    <cellStyle name="Comma 2 8" xfId="1861"/>
    <cellStyle name="Comma 2 9" xfId="1862"/>
    <cellStyle name="Comma 2_05-12  KH trung han 2016-2020 - Liem Thinh edited" xfId="1863"/>
    <cellStyle name="Comma 20" xfId="1864"/>
    <cellStyle name="Comma 20 2" xfId="1865"/>
    <cellStyle name="Comma 20 3" xfId="1866"/>
    <cellStyle name="Comma 21" xfId="1867"/>
    <cellStyle name="Comma 21 2" xfId="1868"/>
    <cellStyle name="Comma 21 3" xfId="1869"/>
    <cellStyle name="Comma 22" xfId="1870"/>
    <cellStyle name="Comma 22 2" xfId="1871"/>
    <cellStyle name="Comma 22 3" xfId="1872"/>
    <cellStyle name="Comma 23" xfId="1873"/>
    <cellStyle name="Comma 23 2" xfId="1874"/>
    <cellStyle name="Comma 23 3" xfId="1875"/>
    <cellStyle name="Comma 24" xfId="1876"/>
    <cellStyle name="Comma 24 2" xfId="1877"/>
    <cellStyle name="Comma 24 3" xfId="1878"/>
    <cellStyle name="Comma 25" xfId="1879"/>
    <cellStyle name="Comma 25 2" xfId="1880"/>
    <cellStyle name="Comma 26" xfId="1881"/>
    <cellStyle name="Comma 26 2" xfId="1882"/>
    <cellStyle name="Comma 26 2 2" xfId="1883"/>
    <cellStyle name="Comma 27" xfId="1884"/>
    <cellStyle name="Comma 27 2" xfId="1885"/>
    <cellStyle name="Comma 28" xfId="1886"/>
    <cellStyle name="Comma 28 2" xfId="1887"/>
    <cellStyle name="Comma 28 2 2 4 2" xfId="1888"/>
    <cellStyle name="Comma 28 2 2 9" xfId="1889"/>
    <cellStyle name="Comma 29" xfId="1890"/>
    <cellStyle name="Comma 29 2" xfId="1891"/>
    <cellStyle name="Comma 3" xfId="8"/>
    <cellStyle name="Comma 3 2" xfId="18"/>
    <cellStyle name="Comma 3 2 10" xfId="1892"/>
    <cellStyle name="Comma 3 2 11" xfId="1893"/>
    <cellStyle name="Comma 3 2 12" xfId="1894"/>
    <cellStyle name="Comma 3 2 13" xfId="1895"/>
    <cellStyle name="Comma 3 2 14" xfId="1896"/>
    <cellStyle name="Comma 3 2 15" xfId="1897"/>
    <cellStyle name="Comma 3 2 2" xfId="1898"/>
    <cellStyle name="Comma 3 2 2 2" xfId="1899"/>
    <cellStyle name="Comma 3 2 2 3" xfId="1900"/>
    <cellStyle name="Comma 3 2 3" xfId="1901"/>
    <cellStyle name="Comma 3 2 3 2" xfId="1902"/>
    <cellStyle name="Comma 3 2 3 3" xfId="1903"/>
    <cellStyle name="Comma 3 2 4" xfId="1904"/>
    <cellStyle name="Comma 3 2 5" xfId="1905"/>
    <cellStyle name="Comma 3 2 6" xfId="1906"/>
    <cellStyle name="Comma 3 2 7" xfId="1907"/>
    <cellStyle name="Comma 3 2 8" xfId="1908"/>
    <cellStyle name="Comma 3 2 9" xfId="1909"/>
    <cellStyle name="Comma 3 3" xfId="1910"/>
    <cellStyle name="Comma 3 3 2" xfId="1911"/>
    <cellStyle name="Comma 3 3 3" xfId="1912"/>
    <cellStyle name="Comma 3 4" xfId="1913"/>
    <cellStyle name="Comma 3 4 2" xfId="1914"/>
    <cellStyle name="Comma 3 4 3" xfId="1915"/>
    <cellStyle name="Comma 3 5" xfId="1916"/>
    <cellStyle name="Comma 3 5 2" xfId="1917"/>
    <cellStyle name="Comma 3 6" xfId="1918"/>
    <cellStyle name="Comma 3 6 2" xfId="1919"/>
    <cellStyle name="Comma 3 7" xfId="1920"/>
    <cellStyle name="Comma 3 7 2" xfId="1921"/>
    <cellStyle name="Comma 3 8" xfId="1922"/>
    <cellStyle name="Comma 3 9" xfId="1923"/>
    <cellStyle name="Comma 30" xfId="1924"/>
    <cellStyle name="Comma 30 2" xfId="1925"/>
    <cellStyle name="Comma 31" xfId="1926"/>
    <cellStyle name="Comma 31 2" xfId="1927"/>
    <cellStyle name="Comma 32" xfId="1928"/>
    <cellStyle name="Comma 32 2" xfId="1929"/>
    <cellStyle name="Comma 32 2 2" xfId="1930"/>
    <cellStyle name="Comma 32 3" xfId="1931"/>
    <cellStyle name="Comma 33" xfId="1932"/>
    <cellStyle name="Comma 33 2" xfId="1933"/>
    <cellStyle name="Comma 34" xfId="1934"/>
    <cellStyle name="Comma 34 2" xfId="1935"/>
    <cellStyle name="Comma 35" xfId="1936"/>
    <cellStyle name="Comma 35 2" xfId="1937"/>
    <cellStyle name="Comma 35 3" xfId="1938"/>
    <cellStyle name="Comma 35 3 2" xfId="1939"/>
    <cellStyle name="Comma 35 3 2 2" xfId="1940"/>
    <cellStyle name="Comma 35 3 2 2 2" xfId="1941"/>
    <cellStyle name="Comma 35 3 2 2 3" xfId="1942"/>
    <cellStyle name="Comma 35 3 2 3" xfId="1943"/>
    <cellStyle name="Comma 35 3 2 4" xfId="1944"/>
    <cellStyle name="Comma 35 3 3" xfId="1945"/>
    <cellStyle name="Comma 35 3 3 2" xfId="1946"/>
    <cellStyle name="Comma 35 3 3 3" xfId="1947"/>
    <cellStyle name="Comma 35 3 4" xfId="1948"/>
    <cellStyle name="Comma 35 3 5" xfId="1949"/>
    <cellStyle name="Comma 35 4" xfId="1950"/>
    <cellStyle name="Comma 35 4 2" xfId="1951"/>
    <cellStyle name="Comma 35 4 2 2" xfId="1952"/>
    <cellStyle name="Comma 35 4 2 2 2" xfId="1953"/>
    <cellStyle name="Comma 35 4 2 2 3" xfId="1954"/>
    <cellStyle name="Comma 35 4 2 3" xfId="1955"/>
    <cellStyle name="Comma 35 4 2 4" xfId="1956"/>
    <cellStyle name="Comma 35 4 3" xfId="1957"/>
    <cellStyle name="Comma 35 4 3 2" xfId="1958"/>
    <cellStyle name="Comma 35 4 3 3" xfId="1959"/>
    <cellStyle name="Comma 35 4 4" xfId="1960"/>
    <cellStyle name="Comma 35 4 5" xfId="1961"/>
    <cellStyle name="Comma 35 5" xfId="1962"/>
    <cellStyle name="Comma 35 5 2" xfId="1963"/>
    <cellStyle name="Comma 35 5 2 2" xfId="1964"/>
    <cellStyle name="Comma 36" xfId="1965"/>
    <cellStyle name="Comma 36 2" xfId="1966"/>
    <cellStyle name="Comma 37" xfId="1967"/>
    <cellStyle name="Comma 37 2" xfId="1968"/>
    <cellStyle name="Comma 38" xfId="1969"/>
    <cellStyle name="Comma 39" xfId="1970"/>
    <cellStyle name="Comma 39 2" xfId="1971"/>
    <cellStyle name="Comma 4" xfId="1972"/>
    <cellStyle name="Comma 4 10" xfId="1973"/>
    <cellStyle name="Comma 4 10 2" xfId="1974"/>
    <cellStyle name="Comma 4 11" xfId="1975"/>
    <cellStyle name="Comma 4 12" xfId="1976"/>
    <cellStyle name="Comma 4 13" xfId="1977"/>
    <cellStyle name="Comma 4 14" xfId="1978"/>
    <cellStyle name="Comma 4 15" xfId="1979"/>
    <cellStyle name="Comma 4 16" xfId="1980"/>
    <cellStyle name="Comma 4 17" xfId="1981"/>
    <cellStyle name="Comma 4 18" xfId="1982"/>
    <cellStyle name="Comma 4 19" xfId="1983"/>
    <cellStyle name="Comma 4 2" xfId="1984"/>
    <cellStyle name="Comma 4 2 2" xfId="1985"/>
    <cellStyle name="Comma 4 2 2 3" xfId="1986"/>
    <cellStyle name="Comma 4 2 3" xfId="1987"/>
    <cellStyle name="Comma 4 2 3 2" xfId="1988"/>
    <cellStyle name="Comma 4 20" xfId="1989"/>
    <cellStyle name="Comma 4 3" xfId="1990"/>
    <cellStyle name="Comma 4 3 2" xfId="1991"/>
    <cellStyle name="Comma 4 3 2 2" xfId="1992"/>
    <cellStyle name="Comma 4 3 3" xfId="1993"/>
    <cellStyle name="Comma 4 3 4" xfId="1994"/>
    <cellStyle name="Comma 4 4" xfId="1995"/>
    <cellStyle name="Comma 4 4 2" xfId="1996"/>
    <cellStyle name="Comma 4 4 3" xfId="1997"/>
    <cellStyle name="Comma 4 4 4" xfId="1998"/>
    <cellStyle name="Comma 4 5" xfId="1999"/>
    <cellStyle name="Comma 4 6" xfId="2000"/>
    <cellStyle name="Comma 4 7" xfId="2001"/>
    <cellStyle name="Comma 4 8" xfId="2002"/>
    <cellStyle name="Comma 4 9" xfId="2003"/>
    <cellStyle name="Comma 4_THEO DOI THUC HIEN (GỐC 1)" xfId="2004"/>
    <cellStyle name="Comma 40" xfId="2005"/>
    <cellStyle name="Comma 40 2" xfId="2006"/>
    <cellStyle name="Comma 41" xfId="2007"/>
    <cellStyle name="Comma 42" xfId="2008"/>
    <cellStyle name="Comma 43" xfId="2009"/>
    <cellStyle name="Comma 44" xfId="2010"/>
    <cellStyle name="Comma 45" xfId="2011"/>
    <cellStyle name="Comma 46" xfId="2012"/>
    <cellStyle name="Comma 47" xfId="2013"/>
    <cellStyle name="Comma 48" xfId="2014"/>
    <cellStyle name="Comma 49" xfId="2015"/>
    <cellStyle name="Comma 5" xfId="2016"/>
    <cellStyle name="Comma 5 10" xfId="2017"/>
    <cellStyle name="Comma 5 11" xfId="2018"/>
    <cellStyle name="Comma 5 12" xfId="2019"/>
    <cellStyle name="Comma 5 13" xfId="2020"/>
    <cellStyle name="Comma 5 14" xfId="2021"/>
    <cellStyle name="Comma 5 15" xfId="2022"/>
    <cellStyle name="Comma 5 16" xfId="2023"/>
    <cellStyle name="Comma 5 17" xfId="2024"/>
    <cellStyle name="Comma 5 17 2" xfId="2025"/>
    <cellStyle name="Comma 5 17 3" xfId="2026"/>
    <cellStyle name="Comma 5 18" xfId="2027"/>
    <cellStyle name="Comma 5 19" xfId="2028"/>
    <cellStyle name="Comma 5 2" xfId="2029"/>
    <cellStyle name="Comma 5 20" xfId="2030"/>
    <cellStyle name="Comma 5 21" xfId="2031"/>
    <cellStyle name="Comma 5 21 2" xfId="2032"/>
    <cellStyle name="Comma 5 21 2 2" xfId="2033"/>
    <cellStyle name="Comma 5 21 2 2 2" xfId="2034"/>
    <cellStyle name="Comma 5 21 2 2 3" xfId="2035"/>
    <cellStyle name="Comma 5 21 2 3" xfId="2036"/>
    <cellStyle name="Comma 5 21 2 3 2" xfId="2037"/>
    <cellStyle name="Comma 5 21 2 3 3" xfId="2038"/>
    <cellStyle name="Comma 5 21 2 4" xfId="2039"/>
    <cellStyle name="Comma 5 21 2 5" xfId="2040"/>
    <cellStyle name="Comma 5 21 3" xfId="2041"/>
    <cellStyle name="Comma 5 21 3 2" xfId="2042"/>
    <cellStyle name="Comma 5 21 3 2 2" xfId="2043"/>
    <cellStyle name="Comma 5 21 3 2 3" xfId="2044"/>
    <cellStyle name="Comma 5 21 3 3" xfId="2045"/>
    <cellStyle name="Comma 5 21 3 4" xfId="2046"/>
    <cellStyle name="Comma 5 21 4" xfId="2047"/>
    <cellStyle name="Comma 5 21 4 2" xfId="2048"/>
    <cellStyle name="Comma 5 21 4 3" xfId="2049"/>
    <cellStyle name="Comma 5 21 5" xfId="2050"/>
    <cellStyle name="Comma 5 21 6" xfId="2051"/>
    <cellStyle name="Comma 5 22" xfId="2052"/>
    <cellStyle name="Comma 5 22 2" xfId="2053"/>
    <cellStyle name="Comma 5 22 2 2" xfId="2054"/>
    <cellStyle name="Comma 5 22 2 3" xfId="2055"/>
    <cellStyle name="Comma 5 22 3" xfId="2056"/>
    <cellStyle name="Comma 5 22 4" xfId="2057"/>
    <cellStyle name="Comma 5 23" xfId="2058"/>
    <cellStyle name="Comma 5 3" xfId="2059"/>
    <cellStyle name="Comma 5 3 2" xfId="2060"/>
    <cellStyle name="Comma 5 4" xfId="2061"/>
    <cellStyle name="Comma 5 4 2" xfId="2062"/>
    <cellStyle name="Comma 5 5" xfId="2063"/>
    <cellStyle name="Comma 5 5 2" xfId="2064"/>
    <cellStyle name="Comma 5 5 3" xfId="2065"/>
    <cellStyle name="Comma 5 6" xfId="2066"/>
    <cellStyle name="Comma 5 7" xfId="2067"/>
    <cellStyle name="Comma 5 8" xfId="2068"/>
    <cellStyle name="Comma 5 9" xfId="2069"/>
    <cellStyle name="Comma 5_05-12  KH trung han 2016-2020 - Liem Thinh edited" xfId="2070"/>
    <cellStyle name="Comma 50" xfId="2071"/>
    <cellStyle name="Comma 50 2" xfId="2072"/>
    <cellStyle name="Comma 50 2 2" xfId="2073"/>
    <cellStyle name="Comma 50 2 2 2" xfId="2074"/>
    <cellStyle name="Comma 50 2 2 3" xfId="2075"/>
    <cellStyle name="Comma 50 2 3" xfId="2076"/>
    <cellStyle name="Comma 50 2 4" xfId="2077"/>
    <cellStyle name="Comma 50 3" xfId="2078"/>
    <cellStyle name="Comma 50 3 2" xfId="2079"/>
    <cellStyle name="Comma 50 3 3" xfId="2080"/>
    <cellStyle name="Comma 50 4" xfId="2081"/>
    <cellStyle name="Comma 50 5" xfId="2082"/>
    <cellStyle name="Comma 51" xfId="2083"/>
    <cellStyle name="Comma 51 2" xfId="2084"/>
    <cellStyle name="Comma 51 2 2" xfId="2085"/>
    <cellStyle name="Comma 51 2 2 2" xfId="2086"/>
    <cellStyle name="Comma 51 2 2 3" xfId="2087"/>
    <cellStyle name="Comma 51 2 3" xfId="2088"/>
    <cellStyle name="Comma 51 2 4" xfId="2089"/>
    <cellStyle name="Comma 51 3" xfId="2090"/>
    <cellStyle name="Comma 51 3 2" xfId="2091"/>
    <cellStyle name="Comma 51 3 3" xfId="2092"/>
    <cellStyle name="Comma 51 4" xfId="2093"/>
    <cellStyle name="Comma 51 5" xfId="2094"/>
    <cellStyle name="Comma 52" xfId="2095"/>
    <cellStyle name="Comma 52 2" xfId="2096"/>
    <cellStyle name="Comma 53" xfId="2097"/>
    <cellStyle name="Comma 53 2" xfId="2098"/>
    <cellStyle name="Comma 53 2 2" xfId="2099"/>
    <cellStyle name="Comma 53 2 3" xfId="2100"/>
    <cellStyle name="Comma 53 3" xfId="2101"/>
    <cellStyle name="Comma 53 4" xfId="2102"/>
    <cellStyle name="Comma 54" xfId="2103"/>
    <cellStyle name="Comma 54 2" xfId="2104"/>
    <cellStyle name="Comma 55" xfId="2105"/>
    <cellStyle name="Comma 55 2" xfId="2106"/>
    <cellStyle name="Comma 55 3" xfId="2107"/>
    <cellStyle name="Comma 56" xfId="2108"/>
    <cellStyle name="Comma 57" xfId="2109"/>
    <cellStyle name="Comma 57 2" xfId="2110"/>
    <cellStyle name="Comma 57 4" xfId="2111"/>
    <cellStyle name="Comma 58" xfId="2112"/>
    <cellStyle name="Comma 59" xfId="2113"/>
    <cellStyle name="Comma 6" xfId="2114"/>
    <cellStyle name="Comma 6 2" xfId="2115"/>
    <cellStyle name="Comma 6 2 2" xfId="2116"/>
    <cellStyle name="Comma 6 3" xfId="2117"/>
    <cellStyle name="Comma 6 4" xfId="2118"/>
    <cellStyle name="Comma 60" xfId="2119"/>
    <cellStyle name="Comma 61" xfId="2120"/>
    <cellStyle name="Comma 62" xfId="2121"/>
    <cellStyle name="Comma 63" xfId="5243"/>
    <cellStyle name="Comma 64" xfId="5240"/>
    <cellStyle name="Comma 65" xfId="5249"/>
    <cellStyle name="Comma 66" xfId="5245"/>
    <cellStyle name="Comma 67" xfId="5251"/>
    <cellStyle name="Comma 68" xfId="5254"/>
    <cellStyle name="Comma 7" xfId="2122"/>
    <cellStyle name="Comma 7 2" xfId="2123"/>
    <cellStyle name="Comma 7 3" xfId="2124"/>
    <cellStyle name="Comma 7 3 2" xfId="2125"/>
    <cellStyle name="Comma 7 4" xfId="2126"/>
    <cellStyle name="Comma 7 5" xfId="2127"/>
    <cellStyle name="Comma 7 6" xfId="2128"/>
    <cellStyle name="Comma 7_20131129 Nhu cau 2014_TPCP ODA (co hoan ung)" xfId="2129"/>
    <cellStyle name="Comma 78" xfId="2130"/>
    <cellStyle name="Comma 8" xfId="2131"/>
    <cellStyle name="Comma 8 2" xfId="2132"/>
    <cellStyle name="Comma 8 2 2" xfId="2133"/>
    <cellStyle name="Comma 8 3" xfId="2134"/>
    <cellStyle name="Comma 8 4" xfId="2135"/>
    <cellStyle name="Comma 8 5" xfId="2136"/>
    <cellStyle name="Comma 9" xfId="2137"/>
    <cellStyle name="Comma 9 2" xfId="2138"/>
    <cellStyle name="Comma 9 2 2" xfId="2139"/>
    <cellStyle name="Comma 9 2 3" xfId="2140"/>
    <cellStyle name="Comma 9 3" xfId="2141"/>
    <cellStyle name="Comma 9 3 2" xfId="2142"/>
    <cellStyle name="Comma 9 3 3" xfId="2143"/>
    <cellStyle name="Comma 9 4" xfId="2144"/>
    <cellStyle name="Comma 9 5" xfId="2145"/>
    <cellStyle name="comma zerodec" xfId="2146"/>
    <cellStyle name="Comma0" xfId="2147"/>
    <cellStyle name="Comma0 10" xfId="2148"/>
    <cellStyle name="Comma0 11" xfId="2149"/>
    <cellStyle name="Comma0 12" xfId="2150"/>
    <cellStyle name="Comma0 13" xfId="2151"/>
    <cellStyle name="Comma0 14" xfId="2152"/>
    <cellStyle name="Comma0 15" xfId="2153"/>
    <cellStyle name="Comma0 16" xfId="2154"/>
    <cellStyle name="Comma0 2" xfId="2155"/>
    <cellStyle name="Comma0 2 2" xfId="2156"/>
    <cellStyle name="Comma0 3" xfId="2157"/>
    <cellStyle name="Comma0 4" xfId="2158"/>
    <cellStyle name="Comma0 5" xfId="2159"/>
    <cellStyle name="Comma0 6" xfId="2160"/>
    <cellStyle name="Comma0 7" xfId="2161"/>
    <cellStyle name="Comma0 8" xfId="2162"/>
    <cellStyle name="Comma0 9" xfId="2163"/>
    <cellStyle name="Company Name" xfId="2164"/>
    <cellStyle name="cong" xfId="2165"/>
    <cellStyle name="Copied" xfId="2166"/>
    <cellStyle name="Co聭ma_Sheet1" xfId="2167"/>
    <cellStyle name="CR Comma" xfId="2168"/>
    <cellStyle name="CR Currency" xfId="2169"/>
    <cellStyle name="Credit" xfId="2170"/>
    <cellStyle name="Credit subtotal" xfId="2171"/>
    <cellStyle name="Credit subtotal 2" xfId="2172"/>
    <cellStyle name="Credit subtotal 2 2" xfId="5271"/>
    <cellStyle name="Credit subtotal 3" xfId="5270"/>
    <cellStyle name="Credit Total" xfId="2173"/>
    <cellStyle name="Cࡵrrency_Sheet1_PRODUCTĠ" xfId="2174"/>
    <cellStyle name="Curråncy [0]_FCST_RESULTS" xfId="2175"/>
    <cellStyle name="Currency %" xfId="2176"/>
    <cellStyle name="Currency % 10" xfId="2177"/>
    <cellStyle name="Currency % 11" xfId="2178"/>
    <cellStyle name="Currency % 12" xfId="2179"/>
    <cellStyle name="Currency % 13" xfId="2180"/>
    <cellStyle name="Currency % 14" xfId="2181"/>
    <cellStyle name="Currency % 15" xfId="2182"/>
    <cellStyle name="Currency % 2" xfId="2183"/>
    <cellStyle name="Currency % 3" xfId="2184"/>
    <cellStyle name="Currency % 4" xfId="2185"/>
    <cellStyle name="Currency % 5" xfId="2186"/>
    <cellStyle name="Currency % 6" xfId="2187"/>
    <cellStyle name="Currency % 7" xfId="2188"/>
    <cellStyle name="Currency % 8" xfId="2189"/>
    <cellStyle name="Currency % 9" xfId="2190"/>
    <cellStyle name="Currency %_05-12  KH trung han 2016-2020 - Liem Thinh edited" xfId="2191"/>
    <cellStyle name="Currency [0] 2" xfId="2192"/>
    <cellStyle name="Currency [0] 2 2" xfId="2193"/>
    <cellStyle name="Currency [0]ßmud plant bolted_RESULTS" xfId="2194"/>
    <cellStyle name="Currency [00]" xfId="2195"/>
    <cellStyle name="Currency [00] 10" xfId="2196"/>
    <cellStyle name="Currency [00] 11" xfId="2197"/>
    <cellStyle name="Currency [00] 12" xfId="2198"/>
    <cellStyle name="Currency [00] 13" xfId="2199"/>
    <cellStyle name="Currency [00] 14" xfId="2200"/>
    <cellStyle name="Currency [00] 15" xfId="2201"/>
    <cellStyle name="Currency [00] 16" xfId="2202"/>
    <cellStyle name="Currency [00] 2" xfId="2203"/>
    <cellStyle name="Currency [00] 3" xfId="2204"/>
    <cellStyle name="Currency [00] 4" xfId="2205"/>
    <cellStyle name="Currency [00] 5" xfId="2206"/>
    <cellStyle name="Currency [00] 6" xfId="2207"/>
    <cellStyle name="Currency [00] 7" xfId="2208"/>
    <cellStyle name="Currency [00] 8" xfId="2209"/>
    <cellStyle name="Currency [00] 9" xfId="2210"/>
    <cellStyle name="Currency 0.0" xfId="2211"/>
    <cellStyle name="Currency 0.0%" xfId="2212"/>
    <cellStyle name="Currency 0.0_05-12  KH trung han 2016-2020 - Liem Thinh edited" xfId="2213"/>
    <cellStyle name="Currency 0.00" xfId="2214"/>
    <cellStyle name="Currency 0.00%" xfId="2215"/>
    <cellStyle name="Currency 0.00_05-12  KH trung han 2016-2020 - Liem Thinh edited" xfId="2216"/>
    <cellStyle name="Currency 0.000" xfId="2217"/>
    <cellStyle name="Currency 0.000%" xfId="2218"/>
    <cellStyle name="Currency 0.000_05-12  KH trung han 2016-2020 - Liem Thinh edited" xfId="2219"/>
    <cellStyle name="Currency 2" xfId="2220"/>
    <cellStyle name="Currency 2 10" xfId="2221"/>
    <cellStyle name="Currency 2 11" xfId="2222"/>
    <cellStyle name="Currency 2 12" xfId="2223"/>
    <cellStyle name="Currency 2 13" xfId="2224"/>
    <cellStyle name="Currency 2 14" xfId="2225"/>
    <cellStyle name="Currency 2 15" xfId="2226"/>
    <cellStyle name="Currency 2 16" xfId="2227"/>
    <cellStyle name="Currency 2 17" xfId="5242"/>
    <cellStyle name="Currency 2 2" xfId="2228"/>
    <cellStyle name="Currency 2 3" xfId="2229"/>
    <cellStyle name="Currency 2 4" xfId="2230"/>
    <cellStyle name="Currency 2 5" xfId="2231"/>
    <cellStyle name="Currency 2 6" xfId="2232"/>
    <cellStyle name="Currency 2 7" xfId="2233"/>
    <cellStyle name="Currency 2 8" xfId="2234"/>
    <cellStyle name="Currency 2 9" xfId="2235"/>
    <cellStyle name="Currency 3" xfId="2236"/>
    <cellStyle name="Currency 3 2" xfId="2237"/>
    <cellStyle name="Currency![0]_FCSt (2)" xfId="2238"/>
    <cellStyle name="Currency0" xfId="2239"/>
    <cellStyle name="Currency0 10" xfId="2240"/>
    <cellStyle name="Currency0 11" xfId="2241"/>
    <cellStyle name="Currency0 12" xfId="2242"/>
    <cellStyle name="Currency0 13" xfId="2243"/>
    <cellStyle name="Currency0 14" xfId="2244"/>
    <cellStyle name="Currency0 15" xfId="2245"/>
    <cellStyle name="Currency0 16" xfId="2246"/>
    <cellStyle name="Currency0 2" xfId="2247"/>
    <cellStyle name="Currency0 2 2" xfId="2248"/>
    <cellStyle name="Currency0 3" xfId="2249"/>
    <cellStyle name="Currency0 4" xfId="2250"/>
    <cellStyle name="Currency0 5" xfId="2251"/>
    <cellStyle name="Currency0 6" xfId="2252"/>
    <cellStyle name="Currency0 7" xfId="2253"/>
    <cellStyle name="Currency0 8" xfId="2254"/>
    <cellStyle name="Currency0 9" xfId="2255"/>
    <cellStyle name="Currency1" xfId="2256"/>
    <cellStyle name="Currency1 10" xfId="2257"/>
    <cellStyle name="Currency1 11" xfId="2258"/>
    <cellStyle name="Currency1 12" xfId="2259"/>
    <cellStyle name="Currency1 13" xfId="2260"/>
    <cellStyle name="Currency1 14" xfId="2261"/>
    <cellStyle name="Currency1 15" xfId="2262"/>
    <cellStyle name="Currency1 16" xfId="2263"/>
    <cellStyle name="Currency1 2" xfId="2264"/>
    <cellStyle name="Currency1 2 2" xfId="2265"/>
    <cellStyle name="Currency1 3" xfId="2266"/>
    <cellStyle name="Currency1 4" xfId="2267"/>
    <cellStyle name="Currency1 5" xfId="2268"/>
    <cellStyle name="Currency1 6" xfId="2269"/>
    <cellStyle name="Currency1 7" xfId="2270"/>
    <cellStyle name="Currency1 8" xfId="2271"/>
    <cellStyle name="Currency1 9" xfId="2272"/>
    <cellStyle name="D1" xfId="2273"/>
    <cellStyle name="Date" xfId="2274"/>
    <cellStyle name="Date 10" xfId="2275"/>
    <cellStyle name="Date 11" xfId="2276"/>
    <cellStyle name="Date 12" xfId="2277"/>
    <cellStyle name="Date 13" xfId="2278"/>
    <cellStyle name="Date 14" xfId="2279"/>
    <cellStyle name="Date 15" xfId="2280"/>
    <cellStyle name="Date 16" xfId="2281"/>
    <cellStyle name="Date 2" xfId="2282"/>
    <cellStyle name="Date 2 2" xfId="2283"/>
    <cellStyle name="Date 3" xfId="2284"/>
    <cellStyle name="Date 4" xfId="2285"/>
    <cellStyle name="Date 5" xfId="2286"/>
    <cellStyle name="Date 6" xfId="2287"/>
    <cellStyle name="Date 7" xfId="2288"/>
    <cellStyle name="Date 8" xfId="2289"/>
    <cellStyle name="Date 9" xfId="2290"/>
    <cellStyle name="Date Short" xfId="2291"/>
    <cellStyle name="Date Short 2" xfId="2292"/>
    <cellStyle name="Date_Book1" xfId="2293"/>
    <cellStyle name="Dấu phảy" xfId="1" builtinId="3"/>
    <cellStyle name="Dấu phảy [0]" xfId="2" builtinId="6"/>
    <cellStyle name="Dấu phảy 2" xfId="38"/>
    <cellStyle name="Dấu phảy 2 2" xfId="28"/>
    <cellStyle name="Dấu_phảy 3" xfId="7"/>
    <cellStyle name="DAUDE" xfId="2294"/>
    <cellStyle name="Debit" xfId="2295"/>
    <cellStyle name="Debit subtotal" xfId="2296"/>
    <cellStyle name="Debit subtotal 2" xfId="2297"/>
    <cellStyle name="Debit subtotal 2 2" xfId="5273"/>
    <cellStyle name="Debit subtotal 3" xfId="5272"/>
    <cellStyle name="Debit Total" xfId="2298"/>
    <cellStyle name="DELTA" xfId="2299"/>
    <cellStyle name="DELTA 10" xfId="2300"/>
    <cellStyle name="DELTA 11" xfId="2301"/>
    <cellStyle name="DELTA 12" xfId="2302"/>
    <cellStyle name="DELTA 13" xfId="2303"/>
    <cellStyle name="DELTA 14" xfId="2304"/>
    <cellStyle name="DELTA 15" xfId="2305"/>
    <cellStyle name="DELTA 2" xfId="2306"/>
    <cellStyle name="DELTA 3" xfId="2307"/>
    <cellStyle name="DELTA 4" xfId="2308"/>
    <cellStyle name="DELTA 5" xfId="2309"/>
    <cellStyle name="DELTA 6" xfId="2310"/>
    <cellStyle name="DELTA 7" xfId="2311"/>
    <cellStyle name="DELTA 8" xfId="2312"/>
    <cellStyle name="DELTA 9" xfId="2313"/>
    <cellStyle name="Dezimal [0]_35ERI8T2gbIEMixb4v26icuOo" xfId="2314"/>
    <cellStyle name="Dezimal_35ERI8T2gbIEMixb4v26icuOo" xfId="2315"/>
    <cellStyle name="Dg" xfId="2316"/>
    <cellStyle name="Dgia" xfId="2317"/>
    <cellStyle name="Dgia 2" xfId="2318"/>
    <cellStyle name="Dgia 2 2" xfId="5275"/>
    <cellStyle name="Dgia 3" xfId="5274"/>
    <cellStyle name="Dollar (zero dec)" xfId="2319"/>
    <cellStyle name="Dollar (zero dec) 10" xfId="2320"/>
    <cellStyle name="Dollar (zero dec) 11" xfId="2321"/>
    <cellStyle name="Dollar (zero dec) 12" xfId="2322"/>
    <cellStyle name="Dollar (zero dec) 13" xfId="2323"/>
    <cellStyle name="Dollar (zero dec) 14" xfId="2324"/>
    <cellStyle name="Dollar (zero dec) 15" xfId="2325"/>
    <cellStyle name="Dollar (zero dec) 16" xfId="2326"/>
    <cellStyle name="Dollar (zero dec) 2" xfId="2327"/>
    <cellStyle name="Dollar (zero dec) 2 2" xfId="2328"/>
    <cellStyle name="Dollar (zero dec) 3" xfId="2329"/>
    <cellStyle name="Dollar (zero dec) 4" xfId="2330"/>
    <cellStyle name="Dollar (zero dec) 5" xfId="2331"/>
    <cellStyle name="Dollar (zero dec) 6" xfId="2332"/>
    <cellStyle name="Dollar (zero dec) 7" xfId="2333"/>
    <cellStyle name="Dollar (zero dec) 8" xfId="2334"/>
    <cellStyle name="Dollar (zero dec) 9" xfId="2335"/>
    <cellStyle name="Don gia" xfId="2336"/>
    <cellStyle name="Dziesi?tny [0]_Invoices2001Slovakia" xfId="2337"/>
    <cellStyle name="Dziesi?tny_Invoices2001Slovakia" xfId="2338"/>
    <cellStyle name="Dziesietny [0]_Invoices2001Slovakia" xfId="2339"/>
    <cellStyle name="Dziesiętny [0]_Invoices2001Slovakia" xfId="2340"/>
    <cellStyle name="Dziesietny [0]_Invoices2001Slovakia 2" xfId="2341"/>
    <cellStyle name="Dziesiętny [0]_Invoices2001Slovakia 2" xfId="2342"/>
    <cellStyle name="Dziesietny [0]_Invoices2001Slovakia 3" xfId="2343"/>
    <cellStyle name="Dziesiętny [0]_Invoices2001Slovakia 3" xfId="2344"/>
    <cellStyle name="Dziesietny [0]_Invoices2001Slovakia 4" xfId="2345"/>
    <cellStyle name="Dziesiętny [0]_Invoices2001Slovakia 4" xfId="2346"/>
    <cellStyle name="Dziesietny [0]_Invoices2001Slovakia 5" xfId="2347"/>
    <cellStyle name="Dziesiętny [0]_Invoices2001Slovakia 5" xfId="2348"/>
    <cellStyle name="Dziesietny [0]_Invoices2001Slovakia 6" xfId="2349"/>
    <cellStyle name="Dziesiętny [0]_Invoices2001Slovakia 6" xfId="2350"/>
    <cellStyle name="Dziesietny [0]_Invoices2001Slovakia 7" xfId="2351"/>
    <cellStyle name="Dziesiętny [0]_Invoices2001Slovakia 7" xfId="2352"/>
    <cellStyle name="Dziesietny [0]_Invoices2001Slovakia_01_Nha so 1_Dien" xfId="2353"/>
    <cellStyle name="Dziesiętny [0]_Invoices2001Slovakia_01_Nha so 1_Dien" xfId="2354"/>
    <cellStyle name="Dziesietny [0]_Invoices2001Slovakia_05-12  KH trung han 2016-2020 - Liem Thinh edited" xfId="2355"/>
    <cellStyle name="Dziesiętny [0]_Invoices2001Slovakia_05-12  KH trung han 2016-2020 - Liem Thinh edited" xfId="2356"/>
    <cellStyle name="Dziesietny [0]_Invoices2001Slovakia_10_Nha so 10_Dien1" xfId="2357"/>
    <cellStyle name="Dziesiętny [0]_Invoices2001Slovakia_10_Nha so 10_Dien1" xfId="2358"/>
    <cellStyle name="Dziesietny [0]_Invoices2001Slovakia_Book1" xfId="2359"/>
    <cellStyle name="Dziesiętny [0]_Invoices2001Slovakia_Book1" xfId="2360"/>
    <cellStyle name="Dziesietny [0]_Invoices2001Slovakia_Book1_1" xfId="2361"/>
    <cellStyle name="Dziesiętny [0]_Invoices2001Slovakia_Book1_1" xfId="2362"/>
    <cellStyle name="Dziesietny [0]_Invoices2001Slovakia_Book1_1_Book1" xfId="2363"/>
    <cellStyle name="Dziesiętny [0]_Invoices2001Slovakia_Book1_1_Book1" xfId="2364"/>
    <cellStyle name="Dziesietny [0]_Invoices2001Slovakia_Book1_2" xfId="2365"/>
    <cellStyle name="Dziesiętny [0]_Invoices2001Slovakia_Book1_2" xfId="2366"/>
    <cellStyle name="Dziesietny [0]_Invoices2001Slovakia_Book1_Nhu cau von ung truoc 2011 Tha h Hoa + Nge An gui TW" xfId="2367"/>
    <cellStyle name="Dziesiętny [0]_Invoices2001Slovakia_Book1_Nhu cau von ung truoc 2011 Tha h Hoa + Nge An gui TW" xfId="2368"/>
    <cellStyle name="Dziesietny [0]_Invoices2001Slovakia_Book1_Tong hop Cac tuyen(9-1-06)" xfId="2369"/>
    <cellStyle name="Dziesiętny [0]_Invoices2001Slovakia_Book1_Tong hop Cac tuyen(9-1-06)" xfId="2370"/>
    <cellStyle name="Dziesietny [0]_Invoices2001Slovakia_Book1_ung truoc 2011 NSTW Thanh Hoa + Nge An gui Thu 12-5" xfId="2371"/>
    <cellStyle name="Dziesiętny [0]_Invoices2001Slovakia_Book1_ung truoc 2011 NSTW Thanh Hoa + Nge An gui Thu 12-5" xfId="2372"/>
    <cellStyle name="Dziesietny [0]_Invoices2001Slovakia_Copy of 05-12  KH trung han 2016-2020 - Liem Thinh edited (1)" xfId="2373"/>
    <cellStyle name="Dziesiętny [0]_Invoices2001Slovakia_Copy of 05-12  KH trung han 2016-2020 - Liem Thinh edited (1)" xfId="2374"/>
    <cellStyle name="Dziesietny [0]_Invoices2001Slovakia_d-uong+TDT" xfId="2375"/>
    <cellStyle name="Dziesiętny [0]_Invoices2001Slovakia_KH TPCP 2016-2020 (tong hop)" xfId="2376"/>
    <cellStyle name="Dziesietny [0]_Invoices2001Slovakia_Nha bao ve(28-7-05)" xfId="2377"/>
    <cellStyle name="Dziesiętny [0]_Invoices2001Slovakia_Nha bao ve(28-7-05)" xfId="2378"/>
    <cellStyle name="Dziesietny [0]_Invoices2001Slovakia_NHA de xe nguyen du" xfId="2379"/>
    <cellStyle name="Dziesiętny [0]_Invoices2001Slovakia_NHA de xe nguyen du" xfId="2380"/>
    <cellStyle name="Dziesietny [0]_Invoices2001Slovakia_Nhalamviec VTC(25-1-05)" xfId="2381"/>
    <cellStyle name="Dziesiętny [0]_Invoices2001Slovakia_Nhalamviec VTC(25-1-05)" xfId="2382"/>
    <cellStyle name="Dziesietny [0]_Invoices2001Slovakia_Nhu cau von ung truoc 2011 Tha h Hoa + Nge An gui TW" xfId="2383"/>
    <cellStyle name="Dziesiętny [0]_Invoices2001Slovakia_TDT KHANH HOA" xfId="2384"/>
    <cellStyle name="Dziesietny [0]_Invoices2001Slovakia_TDT KHANH HOA_Tong hop Cac tuyen(9-1-06)" xfId="2385"/>
    <cellStyle name="Dziesiętny [0]_Invoices2001Slovakia_TDT KHANH HOA_Tong hop Cac tuyen(9-1-06)" xfId="2386"/>
    <cellStyle name="Dziesietny [0]_Invoices2001Slovakia_TDT quangngai" xfId="2387"/>
    <cellStyle name="Dziesiętny [0]_Invoices2001Slovakia_TDT quangngai" xfId="2388"/>
    <cellStyle name="Dziesietny [0]_Invoices2001Slovakia_TMDT(10-5-06)" xfId="2389"/>
    <cellStyle name="Dziesietny_Invoices2001Slovakia" xfId="2390"/>
    <cellStyle name="Dziesiętny_Invoices2001Slovakia" xfId="2391"/>
    <cellStyle name="Dziesietny_Invoices2001Slovakia 2" xfId="2392"/>
    <cellStyle name="Dziesiętny_Invoices2001Slovakia 2" xfId="2393"/>
    <cellStyle name="Dziesietny_Invoices2001Slovakia 3" xfId="2394"/>
    <cellStyle name="Dziesiętny_Invoices2001Slovakia 3" xfId="2395"/>
    <cellStyle name="Dziesietny_Invoices2001Slovakia 4" xfId="2396"/>
    <cellStyle name="Dziesiętny_Invoices2001Slovakia 4" xfId="2397"/>
    <cellStyle name="Dziesietny_Invoices2001Slovakia 5" xfId="2398"/>
    <cellStyle name="Dziesiętny_Invoices2001Slovakia 5" xfId="2399"/>
    <cellStyle name="Dziesietny_Invoices2001Slovakia 6" xfId="2400"/>
    <cellStyle name="Dziesiętny_Invoices2001Slovakia 6" xfId="2401"/>
    <cellStyle name="Dziesietny_Invoices2001Slovakia 7" xfId="2402"/>
    <cellStyle name="Dziesiętny_Invoices2001Slovakia 7" xfId="2403"/>
    <cellStyle name="Dziesietny_Invoices2001Slovakia_01_Nha so 1_Dien" xfId="2404"/>
    <cellStyle name="Dziesiętny_Invoices2001Slovakia_01_Nha so 1_Dien" xfId="2405"/>
    <cellStyle name="Dziesietny_Invoices2001Slovakia_05-12  KH trung han 2016-2020 - Liem Thinh edited" xfId="2406"/>
    <cellStyle name="Dziesiętny_Invoices2001Slovakia_05-12  KH trung han 2016-2020 - Liem Thinh edited" xfId="2407"/>
    <cellStyle name="Dziesietny_Invoices2001Slovakia_10_Nha so 10_Dien1" xfId="2408"/>
    <cellStyle name="Dziesiętny_Invoices2001Slovakia_10_Nha so 10_Dien1" xfId="2409"/>
    <cellStyle name="Dziesietny_Invoices2001Slovakia_Book1" xfId="2410"/>
    <cellStyle name="Dziesiętny_Invoices2001Slovakia_Book1" xfId="2411"/>
    <cellStyle name="Dziesietny_Invoices2001Slovakia_Book1_1" xfId="2412"/>
    <cellStyle name="Dziesiętny_Invoices2001Slovakia_Book1_1" xfId="2413"/>
    <cellStyle name="Dziesietny_Invoices2001Slovakia_Book1_1_Book1" xfId="2414"/>
    <cellStyle name="Dziesiętny_Invoices2001Slovakia_Book1_1_Book1" xfId="2415"/>
    <cellStyle name="Dziesietny_Invoices2001Slovakia_Book1_2" xfId="2416"/>
    <cellStyle name="Dziesiętny_Invoices2001Slovakia_Book1_2" xfId="2417"/>
    <cellStyle name="Dziesietny_Invoices2001Slovakia_Book1_Nhu cau von ung truoc 2011 Tha h Hoa + Nge An gui TW" xfId="2418"/>
    <cellStyle name="Dziesiętny_Invoices2001Slovakia_Book1_Nhu cau von ung truoc 2011 Tha h Hoa + Nge An gui TW" xfId="2419"/>
    <cellStyle name="Dziesietny_Invoices2001Slovakia_Book1_Tong hop Cac tuyen(9-1-06)" xfId="2420"/>
    <cellStyle name="Dziesiętny_Invoices2001Slovakia_Book1_Tong hop Cac tuyen(9-1-06)" xfId="2421"/>
    <cellStyle name="Dziesietny_Invoices2001Slovakia_Book1_ung truoc 2011 NSTW Thanh Hoa + Nge An gui Thu 12-5" xfId="2422"/>
    <cellStyle name="Dziesiętny_Invoices2001Slovakia_Book1_ung truoc 2011 NSTW Thanh Hoa + Nge An gui Thu 12-5" xfId="2423"/>
    <cellStyle name="Dziesietny_Invoices2001Slovakia_Copy of 05-12  KH trung han 2016-2020 - Liem Thinh edited (1)" xfId="2424"/>
    <cellStyle name="Dziesiętny_Invoices2001Slovakia_Copy of 05-12  KH trung han 2016-2020 - Liem Thinh edited (1)" xfId="2425"/>
    <cellStyle name="Dziesietny_Invoices2001Slovakia_d-uong+TDT" xfId="2426"/>
    <cellStyle name="Dziesiętny_Invoices2001Slovakia_KH TPCP 2016-2020 (tong hop)" xfId="2427"/>
    <cellStyle name="Dziesietny_Invoices2001Slovakia_Nha bao ve(28-7-05)" xfId="2428"/>
    <cellStyle name="Dziesiętny_Invoices2001Slovakia_Nha bao ve(28-7-05)" xfId="2429"/>
    <cellStyle name="Dziesietny_Invoices2001Slovakia_NHA de xe nguyen du" xfId="2430"/>
    <cellStyle name="Dziesiętny_Invoices2001Slovakia_NHA de xe nguyen du" xfId="2431"/>
    <cellStyle name="Dziesietny_Invoices2001Slovakia_Nhalamviec VTC(25-1-05)" xfId="2432"/>
    <cellStyle name="Dziesiętny_Invoices2001Slovakia_Nhalamviec VTC(25-1-05)" xfId="2433"/>
    <cellStyle name="Dziesietny_Invoices2001Slovakia_Nhu cau von ung truoc 2011 Tha h Hoa + Nge An gui TW" xfId="2434"/>
    <cellStyle name="Dziesiętny_Invoices2001Slovakia_TDT KHANH HOA" xfId="2435"/>
    <cellStyle name="Dziesietny_Invoices2001Slovakia_TDT KHANH HOA_Tong hop Cac tuyen(9-1-06)" xfId="2436"/>
    <cellStyle name="Dziesiętny_Invoices2001Slovakia_TDT KHANH HOA_Tong hop Cac tuyen(9-1-06)" xfId="2437"/>
    <cellStyle name="Dziesietny_Invoices2001Slovakia_TDT quangngai" xfId="2438"/>
    <cellStyle name="Dziesiętny_Invoices2001Slovakia_TDT quangngai" xfId="2439"/>
    <cellStyle name="Dziesietny_Invoices2001Slovakia_TMDT(10-5-06)" xfId="2440"/>
    <cellStyle name="e" xfId="2441"/>
    <cellStyle name="Enter Currency (0)" xfId="2442"/>
    <cellStyle name="Enter Currency (0) 10" xfId="2443"/>
    <cellStyle name="Enter Currency (0) 11" xfId="2444"/>
    <cellStyle name="Enter Currency (0) 12" xfId="2445"/>
    <cellStyle name="Enter Currency (0) 13" xfId="2446"/>
    <cellStyle name="Enter Currency (0) 14" xfId="2447"/>
    <cellStyle name="Enter Currency (0) 15" xfId="2448"/>
    <cellStyle name="Enter Currency (0) 16" xfId="2449"/>
    <cellStyle name="Enter Currency (0) 2" xfId="2450"/>
    <cellStyle name="Enter Currency (0) 3" xfId="2451"/>
    <cellStyle name="Enter Currency (0) 4" xfId="2452"/>
    <cellStyle name="Enter Currency (0) 5" xfId="2453"/>
    <cellStyle name="Enter Currency (0) 6" xfId="2454"/>
    <cellStyle name="Enter Currency (0) 7" xfId="2455"/>
    <cellStyle name="Enter Currency (0) 8" xfId="2456"/>
    <cellStyle name="Enter Currency (0) 9" xfId="2457"/>
    <cellStyle name="Enter Currency (2)" xfId="2458"/>
    <cellStyle name="Enter Currency (2) 10" xfId="2459"/>
    <cellStyle name="Enter Currency (2) 11" xfId="2460"/>
    <cellStyle name="Enter Currency (2) 12" xfId="2461"/>
    <cellStyle name="Enter Currency (2) 13" xfId="2462"/>
    <cellStyle name="Enter Currency (2) 14" xfId="2463"/>
    <cellStyle name="Enter Currency (2) 15" xfId="2464"/>
    <cellStyle name="Enter Currency (2) 16" xfId="2465"/>
    <cellStyle name="Enter Currency (2) 2" xfId="2466"/>
    <cellStyle name="Enter Currency (2) 3" xfId="2467"/>
    <cellStyle name="Enter Currency (2) 4" xfId="2468"/>
    <cellStyle name="Enter Currency (2) 5" xfId="2469"/>
    <cellStyle name="Enter Currency (2) 6" xfId="2470"/>
    <cellStyle name="Enter Currency (2) 7" xfId="2471"/>
    <cellStyle name="Enter Currency (2) 8" xfId="2472"/>
    <cellStyle name="Enter Currency (2) 9" xfId="2473"/>
    <cellStyle name="Enter Units (0)" xfId="2474"/>
    <cellStyle name="Enter Units (0) 10" xfId="2475"/>
    <cellStyle name="Enter Units (0) 11" xfId="2476"/>
    <cellStyle name="Enter Units (0) 12" xfId="2477"/>
    <cellStyle name="Enter Units (0) 13" xfId="2478"/>
    <cellStyle name="Enter Units (0) 14" xfId="2479"/>
    <cellStyle name="Enter Units (0) 15" xfId="2480"/>
    <cellStyle name="Enter Units (0) 16" xfId="2481"/>
    <cellStyle name="Enter Units (0) 2" xfId="2482"/>
    <cellStyle name="Enter Units (0) 3" xfId="2483"/>
    <cellStyle name="Enter Units (0) 4" xfId="2484"/>
    <cellStyle name="Enter Units (0) 5" xfId="2485"/>
    <cellStyle name="Enter Units (0) 6" xfId="2486"/>
    <cellStyle name="Enter Units (0) 7" xfId="2487"/>
    <cellStyle name="Enter Units (0) 8" xfId="2488"/>
    <cellStyle name="Enter Units (0) 9" xfId="2489"/>
    <cellStyle name="Enter Units (1)" xfId="2490"/>
    <cellStyle name="Enter Units (1) 10" xfId="2491"/>
    <cellStyle name="Enter Units (1) 11" xfId="2492"/>
    <cellStyle name="Enter Units (1) 12" xfId="2493"/>
    <cellStyle name="Enter Units (1) 13" xfId="2494"/>
    <cellStyle name="Enter Units (1) 14" xfId="2495"/>
    <cellStyle name="Enter Units (1) 15" xfId="2496"/>
    <cellStyle name="Enter Units (1) 16" xfId="2497"/>
    <cellStyle name="Enter Units (1) 2" xfId="2498"/>
    <cellStyle name="Enter Units (1) 3" xfId="2499"/>
    <cellStyle name="Enter Units (1) 4" xfId="2500"/>
    <cellStyle name="Enter Units (1) 5" xfId="2501"/>
    <cellStyle name="Enter Units (1) 6" xfId="2502"/>
    <cellStyle name="Enter Units (1) 7" xfId="2503"/>
    <cellStyle name="Enter Units (1) 8" xfId="2504"/>
    <cellStyle name="Enter Units (1) 9" xfId="2505"/>
    <cellStyle name="Enter Units (2)" xfId="2506"/>
    <cellStyle name="Enter Units (2) 10" xfId="2507"/>
    <cellStyle name="Enter Units (2) 11" xfId="2508"/>
    <cellStyle name="Enter Units (2) 12" xfId="2509"/>
    <cellStyle name="Enter Units (2) 13" xfId="2510"/>
    <cellStyle name="Enter Units (2) 14" xfId="2511"/>
    <cellStyle name="Enter Units (2) 15" xfId="2512"/>
    <cellStyle name="Enter Units (2) 16" xfId="2513"/>
    <cellStyle name="Enter Units (2) 2" xfId="2514"/>
    <cellStyle name="Enter Units (2) 3" xfId="2515"/>
    <cellStyle name="Enter Units (2) 4" xfId="2516"/>
    <cellStyle name="Enter Units (2) 5" xfId="2517"/>
    <cellStyle name="Enter Units (2) 6" xfId="2518"/>
    <cellStyle name="Enter Units (2) 7" xfId="2519"/>
    <cellStyle name="Enter Units (2) 8" xfId="2520"/>
    <cellStyle name="Enter Units (2) 9" xfId="2521"/>
    <cellStyle name="Entered" xfId="2522"/>
    <cellStyle name="Euro" xfId="2523"/>
    <cellStyle name="Euro 10" xfId="2524"/>
    <cellStyle name="Euro 11" xfId="2525"/>
    <cellStyle name="Euro 12" xfId="2526"/>
    <cellStyle name="Euro 13" xfId="2527"/>
    <cellStyle name="Euro 14" xfId="2528"/>
    <cellStyle name="Euro 15" xfId="2529"/>
    <cellStyle name="Euro 16" xfId="2530"/>
    <cellStyle name="Euro 2" xfId="2531"/>
    <cellStyle name="Euro 3" xfId="2532"/>
    <cellStyle name="Euro 4" xfId="2533"/>
    <cellStyle name="Euro 5" xfId="2534"/>
    <cellStyle name="Euro 6" xfId="2535"/>
    <cellStyle name="Euro 7" xfId="2536"/>
    <cellStyle name="Euro 8" xfId="2537"/>
    <cellStyle name="Euro 9" xfId="2538"/>
    <cellStyle name="Excel Built-in Normal" xfId="2539"/>
    <cellStyle name="Explanatory Text 2" xfId="2540"/>
    <cellStyle name="f" xfId="2541"/>
    <cellStyle name="f_Danhmuc_Quyhoach2009" xfId="2542"/>
    <cellStyle name="f_Danhmuc_Quyhoach2009 2" xfId="2543"/>
    <cellStyle name="f_Danhmuc_Quyhoach2009 2 2" xfId="2544"/>
    <cellStyle name="Fixed" xfId="2545"/>
    <cellStyle name="Fixed 10" xfId="2546"/>
    <cellStyle name="Fixed 11" xfId="2547"/>
    <cellStyle name="Fixed 12" xfId="2548"/>
    <cellStyle name="Fixed 13" xfId="2549"/>
    <cellStyle name="Fixed 14" xfId="2550"/>
    <cellStyle name="Fixed 15" xfId="2551"/>
    <cellStyle name="Fixed 16" xfId="2552"/>
    <cellStyle name="Fixed 2" xfId="2553"/>
    <cellStyle name="Fixed 2 2" xfId="2554"/>
    <cellStyle name="Fixed 3" xfId="2555"/>
    <cellStyle name="Fixed 4" xfId="2556"/>
    <cellStyle name="Fixed 5" xfId="2557"/>
    <cellStyle name="Fixed 6" xfId="2558"/>
    <cellStyle name="Fixed 7" xfId="2559"/>
    <cellStyle name="Fixed 8" xfId="2560"/>
    <cellStyle name="Fixed 9" xfId="2561"/>
    <cellStyle name="Font Britannic16" xfId="2562"/>
    <cellStyle name="Font Britannic18" xfId="2563"/>
    <cellStyle name="Font CenturyCond 18" xfId="2564"/>
    <cellStyle name="Font Cond20" xfId="2565"/>
    <cellStyle name="Font LucidaSans16" xfId="2566"/>
    <cellStyle name="Font NewCenturyCond18" xfId="2567"/>
    <cellStyle name="Font Ottawa14" xfId="2568"/>
    <cellStyle name="Font Ottawa16" xfId="2569"/>
    <cellStyle name="gia" xfId="2570"/>
    <cellStyle name="GIA-MOI" xfId="2571"/>
    <cellStyle name="GIA-MOI 2" xfId="2572"/>
    <cellStyle name="GIA-MOI 3" xfId="2573"/>
    <cellStyle name="GIA-MOI 4" xfId="2574"/>
    <cellStyle name="Good 2" xfId="2575"/>
    <cellStyle name="Grey" xfId="2576"/>
    <cellStyle name="Grey 10" xfId="2577"/>
    <cellStyle name="Grey 11" xfId="2578"/>
    <cellStyle name="Grey 12" xfId="2579"/>
    <cellStyle name="Grey 13" xfId="2580"/>
    <cellStyle name="Grey 14" xfId="2581"/>
    <cellStyle name="Grey 15" xfId="2582"/>
    <cellStyle name="Grey 16" xfId="2583"/>
    <cellStyle name="Grey 2" xfId="2584"/>
    <cellStyle name="Grey 3" xfId="2585"/>
    <cellStyle name="Grey 4" xfId="2586"/>
    <cellStyle name="Grey 5" xfId="2587"/>
    <cellStyle name="Grey 6" xfId="2588"/>
    <cellStyle name="Grey 7" xfId="2589"/>
    <cellStyle name="Grey 8" xfId="2590"/>
    <cellStyle name="Grey 9" xfId="2591"/>
    <cellStyle name="Grey_KH TPCP 2016-2020 (tong hop)" xfId="2592"/>
    <cellStyle name="Group" xfId="2593"/>
    <cellStyle name="H" xfId="2594"/>
    <cellStyle name="ha" xfId="2595"/>
    <cellStyle name="HAI" xfId="2596"/>
    <cellStyle name="Head 1" xfId="2597"/>
    <cellStyle name="HEADER" xfId="2598"/>
    <cellStyle name="HEADER 2" xfId="2599"/>
    <cellStyle name="Header1" xfId="2600"/>
    <cellStyle name="Header1 2" xfId="2601"/>
    <cellStyle name="Header2" xfId="2602"/>
    <cellStyle name="Header2 2" xfId="2603"/>
    <cellStyle name="Header2 2 2" xfId="2604"/>
    <cellStyle name="Header2 2 2 2" xfId="2605"/>
    <cellStyle name="Header2 2 2 2 2" xfId="5279"/>
    <cellStyle name="Header2 2 2 3" xfId="5278"/>
    <cellStyle name="Header2 2 3" xfId="2606"/>
    <cellStyle name="Header2 2 3 2" xfId="5280"/>
    <cellStyle name="Header2 2 4" xfId="5277"/>
    <cellStyle name="Header2 3" xfId="2607"/>
    <cellStyle name="Header2 3 2" xfId="2608"/>
    <cellStyle name="Header2 3 2 2" xfId="5282"/>
    <cellStyle name="Header2 3 3" xfId="5281"/>
    <cellStyle name="Header2 4" xfId="2609"/>
    <cellStyle name="Header2 4 2" xfId="5283"/>
    <cellStyle name="Header2 5" xfId="5276"/>
    <cellStyle name="Heading" xfId="2610"/>
    <cellStyle name="Heading 1 2" xfId="2611"/>
    <cellStyle name="Heading 2 2" xfId="2612"/>
    <cellStyle name="Heading 3 2" xfId="2613"/>
    <cellStyle name="Heading 4 2" xfId="2614"/>
    <cellStyle name="Heading No Underline" xfId="2615"/>
    <cellStyle name="Heading With Underline" xfId="2616"/>
    <cellStyle name="HEADING1" xfId="2617"/>
    <cellStyle name="HEADING2" xfId="2618"/>
    <cellStyle name="HEADINGS" xfId="2619"/>
    <cellStyle name="HEADINGSTOP" xfId="2620"/>
    <cellStyle name="headoption" xfId="2621"/>
    <cellStyle name="headoption 2" xfId="2622"/>
    <cellStyle name="headoption 2 2" xfId="5285"/>
    <cellStyle name="headoption 3" xfId="2623"/>
    <cellStyle name="headoption 3 2" xfId="5286"/>
    <cellStyle name="headoption 4" xfId="5284"/>
    <cellStyle name="Hoa-Scholl" xfId="2624"/>
    <cellStyle name="Hoa-Scholl 2" xfId="2625"/>
    <cellStyle name="Hoa-Scholl 2 2" xfId="5288"/>
    <cellStyle name="Hoa-Scholl 3" xfId="5287"/>
    <cellStyle name="HUY" xfId="2626"/>
    <cellStyle name="i phÝ kh¸c_B¶ng 2" xfId="2627"/>
    <cellStyle name="I.3" xfId="2628"/>
    <cellStyle name="i·0" xfId="2629"/>
    <cellStyle name="i·0 2" xfId="2630"/>
    <cellStyle name="ï-¾È»ê_BiÓu TB" xfId="2631"/>
    <cellStyle name="Input [yellow]" xfId="2632"/>
    <cellStyle name="Input [yellow] 10" xfId="2633"/>
    <cellStyle name="Input [yellow] 10 2" xfId="5290"/>
    <cellStyle name="Input [yellow] 11" xfId="2634"/>
    <cellStyle name="Input [yellow] 11 2" xfId="5291"/>
    <cellStyle name="Input [yellow] 12" xfId="2635"/>
    <cellStyle name="Input [yellow] 12 2" xfId="5292"/>
    <cellStyle name="Input [yellow] 13" xfId="2636"/>
    <cellStyle name="Input [yellow] 13 2" xfId="5293"/>
    <cellStyle name="Input [yellow] 14" xfId="2637"/>
    <cellStyle name="Input [yellow] 14 2" xfId="5294"/>
    <cellStyle name="Input [yellow] 15" xfId="2638"/>
    <cellStyle name="Input [yellow] 15 2" xfId="5295"/>
    <cellStyle name="Input [yellow] 16" xfId="2639"/>
    <cellStyle name="Input [yellow] 16 2" xfId="5296"/>
    <cellStyle name="Input [yellow] 17" xfId="5289"/>
    <cellStyle name="Input [yellow] 2" xfId="2640"/>
    <cellStyle name="Input [yellow] 2 2" xfId="2641"/>
    <cellStyle name="Input [yellow] 2 2 2" xfId="5298"/>
    <cellStyle name="Input [yellow] 2 3" xfId="5297"/>
    <cellStyle name="Input [yellow] 3" xfId="2642"/>
    <cellStyle name="Input [yellow] 3 2" xfId="5299"/>
    <cellStyle name="Input [yellow] 4" xfId="2643"/>
    <cellStyle name="Input [yellow] 4 2" xfId="5300"/>
    <cellStyle name="Input [yellow] 5" xfId="2644"/>
    <cellStyle name="Input [yellow] 5 2" xfId="5301"/>
    <cellStyle name="Input [yellow] 6" xfId="2645"/>
    <cellStyle name="Input [yellow] 6 2" xfId="5302"/>
    <cellStyle name="Input [yellow] 7" xfId="2646"/>
    <cellStyle name="Input [yellow] 7 2" xfId="5303"/>
    <cellStyle name="Input [yellow] 8" xfId="2647"/>
    <cellStyle name="Input [yellow] 8 2" xfId="5304"/>
    <cellStyle name="Input [yellow] 9" xfId="2648"/>
    <cellStyle name="Input [yellow] 9 2" xfId="5305"/>
    <cellStyle name="Input [yellow]_KH TPCP 2016-2020 (tong hop)" xfId="2649"/>
    <cellStyle name="Input 2" xfId="2650"/>
    <cellStyle name="Input 3" xfId="2651"/>
    <cellStyle name="Input 4" xfId="2652"/>
    <cellStyle name="Input 5" xfId="2653"/>
    <cellStyle name="Input 6" xfId="2654"/>
    <cellStyle name="Input 7" xfId="2655"/>
    <cellStyle name="k_TONG HOP KINH PHI" xfId="2656"/>
    <cellStyle name="k_TONG HOP KINH PHI_!1 1 bao cao giao KH ve HTCMT vung TNB   12-12-2011" xfId="2657"/>
    <cellStyle name="k_TONG HOP KINH PHI_Bieu4HTMT" xfId="2658"/>
    <cellStyle name="k_TONG HOP KINH PHI_Bieu4HTMT_!1 1 bao cao giao KH ve HTCMT vung TNB   12-12-2011" xfId="2659"/>
    <cellStyle name="k_TONG HOP KINH PHI_Bieu4HTMT_KH TPCP vung TNB (03-1-2012)" xfId="2660"/>
    <cellStyle name="k_TONG HOP KINH PHI_KH TPCP vung TNB (03-1-2012)" xfId="2661"/>
    <cellStyle name="k_ÿÿÿÿÿ" xfId="2662"/>
    <cellStyle name="k_ÿÿÿÿÿ_!1 1 bao cao giao KH ve HTCMT vung TNB   12-12-2011" xfId="2663"/>
    <cellStyle name="k_ÿÿÿÿÿ_1" xfId="2664"/>
    <cellStyle name="k_ÿÿÿÿÿ_2" xfId="2665"/>
    <cellStyle name="k_ÿÿÿÿÿ_2_!1 1 bao cao giao KH ve HTCMT vung TNB   12-12-2011" xfId="2666"/>
    <cellStyle name="k_ÿÿÿÿÿ_2_Bieu4HTMT" xfId="2667"/>
    <cellStyle name="k_ÿÿÿÿÿ_2_Bieu4HTMT_!1 1 bao cao giao KH ve HTCMT vung TNB   12-12-2011" xfId="2668"/>
    <cellStyle name="k_ÿÿÿÿÿ_2_Bieu4HTMT_KH TPCP vung TNB (03-1-2012)" xfId="2669"/>
    <cellStyle name="k_ÿÿÿÿÿ_2_KH TPCP vung TNB (03-1-2012)" xfId="2670"/>
    <cellStyle name="k_ÿÿÿÿÿ_Bieu4HTMT" xfId="2671"/>
    <cellStyle name="k_ÿÿÿÿÿ_Bieu4HTMT_!1 1 bao cao giao KH ve HTCMT vung TNB   12-12-2011" xfId="2672"/>
    <cellStyle name="k_ÿÿÿÿÿ_Bieu4HTMT_KH TPCP vung TNB (03-1-2012)" xfId="2673"/>
    <cellStyle name="k_ÿÿÿÿÿ_KH TPCP vung TNB (03-1-2012)" xfId="2674"/>
    <cellStyle name="kh¸c_Bang Chi tieu" xfId="2675"/>
    <cellStyle name="khanh" xfId="2676"/>
    <cellStyle name="khung" xfId="2677"/>
    <cellStyle name="KLBXUNG" xfId="2678"/>
    <cellStyle name="KLBXUNG 2" xfId="2679"/>
    <cellStyle name="KLBXUNG 3" xfId="2680"/>
    <cellStyle name="KLBXUNG 4" xfId="2681"/>
    <cellStyle name="Ledger 17 x 11 in" xfId="2682"/>
    <cellStyle name="Ledger 17 x 11 in 2" xfId="2683"/>
    <cellStyle name="Ledger 17 x 11 in 2 2" xfId="2684"/>
    <cellStyle name="Ledger 17 x 11 in 3" xfId="2685"/>
    <cellStyle name="Ledger 17 x 11 in 4" xfId="2686"/>
    <cellStyle name="left" xfId="2687"/>
    <cellStyle name="Line" xfId="2688"/>
    <cellStyle name="Link Currency (0)" xfId="2689"/>
    <cellStyle name="Link Currency (0) 10" xfId="2690"/>
    <cellStyle name="Link Currency (0) 11" xfId="2691"/>
    <cellStyle name="Link Currency (0) 12" xfId="2692"/>
    <cellStyle name="Link Currency (0) 13" xfId="2693"/>
    <cellStyle name="Link Currency (0) 14" xfId="2694"/>
    <cellStyle name="Link Currency (0) 15" xfId="2695"/>
    <cellStyle name="Link Currency (0) 16" xfId="2696"/>
    <cellStyle name="Link Currency (0) 2" xfId="2697"/>
    <cellStyle name="Link Currency (0) 3" xfId="2698"/>
    <cellStyle name="Link Currency (0) 4" xfId="2699"/>
    <cellStyle name="Link Currency (0) 5" xfId="2700"/>
    <cellStyle name="Link Currency (0) 6" xfId="2701"/>
    <cellStyle name="Link Currency (0) 7" xfId="2702"/>
    <cellStyle name="Link Currency (0) 8" xfId="2703"/>
    <cellStyle name="Link Currency (0) 9" xfId="2704"/>
    <cellStyle name="Link Currency (2)" xfId="2705"/>
    <cellStyle name="Link Currency (2) 10" xfId="2706"/>
    <cellStyle name="Link Currency (2) 11" xfId="2707"/>
    <cellStyle name="Link Currency (2) 12" xfId="2708"/>
    <cellStyle name="Link Currency (2) 13" xfId="2709"/>
    <cellStyle name="Link Currency (2) 14" xfId="2710"/>
    <cellStyle name="Link Currency (2) 15" xfId="2711"/>
    <cellStyle name="Link Currency (2) 16" xfId="2712"/>
    <cellStyle name="Link Currency (2) 2" xfId="2713"/>
    <cellStyle name="Link Currency (2) 3" xfId="2714"/>
    <cellStyle name="Link Currency (2) 4" xfId="2715"/>
    <cellStyle name="Link Currency (2) 5" xfId="2716"/>
    <cellStyle name="Link Currency (2) 6" xfId="2717"/>
    <cellStyle name="Link Currency (2) 7" xfId="2718"/>
    <cellStyle name="Link Currency (2) 8" xfId="2719"/>
    <cellStyle name="Link Currency (2) 9" xfId="2720"/>
    <cellStyle name="Link Units (0)" xfId="2721"/>
    <cellStyle name="Link Units (0) 10" xfId="2722"/>
    <cellStyle name="Link Units (0) 11" xfId="2723"/>
    <cellStyle name="Link Units (0) 12" xfId="2724"/>
    <cellStyle name="Link Units (0) 13" xfId="2725"/>
    <cellStyle name="Link Units (0) 14" xfId="2726"/>
    <cellStyle name="Link Units (0) 15" xfId="2727"/>
    <cellStyle name="Link Units (0) 16" xfId="2728"/>
    <cellStyle name="Link Units (0) 2" xfId="2729"/>
    <cellStyle name="Link Units (0) 3" xfId="2730"/>
    <cellStyle name="Link Units (0) 4" xfId="2731"/>
    <cellStyle name="Link Units (0) 5" xfId="2732"/>
    <cellStyle name="Link Units (0) 6" xfId="2733"/>
    <cellStyle name="Link Units (0) 7" xfId="2734"/>
    <cellStyle name="Link Units (0) 8" xfId="2735"/>
    <cellStyle name="Link Units (0) 9" xfId="2736"/>
    <cellStyle name="Link Units (1)" xfId="2737"/>
    <cellStyle name="Link Units (1) 10" xfId="2738"/>
    <cellStyle name="Link Units (1) 11" xfId="2739"/>
    <cellStyle name="Link Units (1) 12" xfId="2740"/>
    <cellStyle name="Link Units (1) 13" xfId="2741"/>
    <cellStyle name="Link Units (1) 14" xfId="2742"/>
    <cellStyle name="Link Units (1) 15" xfId="2743"/>
    <cellStyle name="Link Units (1) 16" xfId="2744"/>
    <cellStyle name="Link Units (1) 2" xfId="2745"/>
    <cellStyle name="Link Units (1) 3" xfId="2746"/>
    <cellStyle name="Link Units (1) 4" xfId="2747"/>
    <cellStyle name="Link Units (1) 5" xfId="2748"/>
    <cellStyle name="Link Units (1) 6" xfId="2749"/>
    <cellStyle name="Link Units (1) 7" xfId="2750"/>
    <cellStyle name="Link Units (1) 8" xfId="2751"/>
    <cellStyle name="Link Units (1) 9" xfId="2752"/>
    <cellStyle name="Link Units (2)" xfId="2753"/>
    <cellStyle name="Link Units (2) 10" xfId="2754"/>
    <cellStyle name="Link Units (2) 11" xfId="2755"/>
    <cellStyle name="Link Units (2) 12" xfId="2756"/>
    <cellStyle name="Link Units (2) 13" xfId="2757"/>
    <cellStyle name="Link Units (2) 14" xfId="2758"/>
    <cellStyle name="Link Units (2) 15" xfId="2759"/>
    <cellStyle name="Link Units (2) 16" xfId="2760"/>
    <cellStyle name="Link Units (2) 2" xfId="2761"/>
    <cellStyle name="Link Units (2) 3" xfId="2762"/>
    <cellStyle name="Link Units (2) 4" xfId="2763"/>
    <cellStyle name="Link Units (2) 5" xfId="2764"/>
    <cellStyle name="Link Units (2) 6" xfId="2765"/>
    <cellStyle name="Link Units (2) 7" xfId="2766"/>
    <cellStyle name="Link Units (2) 8" xfId="2767"/>
    <cellStyle name="Link Units (2) 9" xfId="2768"/>
    <cellStyle name="Linked Cell 2" xfId="2769"/>
    <cellStyle name="Loai CBDT" xfId="2770"/>
    <cellStyle name="Loai CT" xfId="2771"/>
    <cellStyle name="Loai GD" xfId="2772"/>
    <cellStyle name="MAU" xfId="2773"/>
    <cellStyle name="MAU 2" xfId="2774"/>
    <cellStyle name="MAU 2 2" xfId="5307"/>
    <cellStyle name="MAU 3" xfId="5306"/>
    <cellStyle name="Migliaia (0)_CALPREZZ" xfId="2775"/>
    <cellStyle name="Migliaia_ PESO ELETTR." xfId="2776"/>
    <cellStyle name="Millares [0]_Well Timing" xfId="2777"/>
    <cellStyle name="Millares_Well Timing" xfId="2778"/>
    <cellStyle name="Milliers [0]_      " xfId="2779"/>
    <cellStyle name="Milliers_      " xfId="2780"/>
    <cellStyle name="Model" xfId="2781"/>
    <cellStyle name="Model 2" xfId="2782"/>
    <cellStyle name="moi" xfId="2783"/>
    <cellStyle name="moi 2" xfId="2784"/>
    <cellStyle name="moi 2 2" xfId="5309"/>
    <cellStyle name="moi 3" xfId="2785"/>
    <cellStyle name="moi 3 2" xfId="5310"/>
    <cellStyle name="moi 4" xfId="5308"/>
    <cellStyle name="Moneda [0]_Well Timing" xfId="2786"/>
    <cellStyle name="Moneda_Well Timing" xfId="2787"/>
    <cellStyle name="Monétaire [0]_      " xfId="2788"/>
    <cellStyle name="Monétaire_      " xfId="2789"/>
    <cellStyle name="n" xfId="2790"/>
    <cellStyle name="n_Book1_Bieu du thao QD von ho tro co MT 3 2" xfId="2791"/>
    <cellStyle name="Neutral 2" xfId="2792"/>
    <cellStyle name="New" xfId="2793"/>
    <cellStyle name="New 2" xfId="5311"/>
    <cellStyle name="New Times Roman" xfId="2794"/>
    <cellStyle name="nga" xfId="2795"/>
    <cellStyle name="nga 2" xfId="2796"/>
    <cellStyle name="nga 3" xfId="2797"/>
    <cellStyle name="nga 4" xfId="2798"/>
    <cellStyle name="no dec" xfId="2799"/>
    <cellStyle name="no dec 2" xfId="2800"/>
    <cellStyle name="no dec 2 2" xfId="2801"/>
    <cellStyle name="ÑONVÒ" xfId="2802"/>
    <cellStyle name="ÑONVÒ 2" xfId="2803"/>
    <cellStyle name="ÑONVÒ 2 2" xfId="5313"/>
    <cellStyle name="ÑONVÒ 3" xfId="5312"/>
    <cellStyle name="Normal - Style1" xfId="2804"/>
    <cellStyle name="Normal - Style1 2" xfId="2805"/>
    <cellStyle name="Normal - Style1 2 2" xfId="2806"/>
    <cellStyle name="Normal - Style1 3" xfId="2807"/>
    <cellStyle name="Normal - Style1_KH TPCP 2016-2020 (tong hop)" xfId="2808"/>
    <cellStyle name="Normal - 유형1" xfId="2809"/>
    <cellStyle name="Normal 10" xfId="27"/>
    <cellStyle name="Normal 10 2" xfId="2810"/>
    <cellStyle name="Normal 10 2 2" xfId="2811"/>
    <cellStyle name="Normal 10 2 24" xfId="2812"/>
    <cellStyle name="Normal 10 2 28" xfId="2813"/>
    <cellStyle name="Normal 10 2 4" xfId="2814"/>
    <cellStyle name="Normal 10 3" xfId="2815"/>
    <cellStyle name="Normal 10 3 2" xfId="2816"/>
    <cellStyle name="Normal 10 3 3" xfId="2817"/>
    <cellStyle name="Normal 10 3 3 2" xfId="2818"/>
    <cellStyle name="Normal 10 4" xfId="2819"/>
    <cellStyle name="Normal 10 5" xfId="2820"/>
    <cellStyle name="Normal 10 6" xfId="2821"/>
    <cellStyle name="Normal 10 7" xfId="2822"/>
    <cellStyle name="Normal 10 7 2" xfId="2823"/>
    <cellStyle name="Normal 10 7 3" xfId="2824"/>
    <cellStyle name="Normal 10 7 3 2" xfId="2825"/>
    <cellStyle name="Normal 10 7 3 2 2" xfId="2826"/>
    <cellStyle name="Normal 10 7 3 3" xfId="2827"/>
    <cellStyle name="Normal 10 7 4" xfId="2828"/>
    <cellStyle name="Normal 10 7 4 2" xfId="2829"/>
    <cellStyle name="Normal 10 8" xfId="2830"/>
    <cellStyle name="Normal 10 9" xfId="2831"/>
    <cellStyle name="Normal 10_05-12  KH trung han 2016-2020 - Liem Thinh edited" xfId="2832"/>
    <cellStyle name="Normal 100" xfId="2833"/>
    <cellStyle name="Normal 11" xfId="2834"/>
    <cellStyle name="Normal 11 2" xfId="2835"/>
    <cellStyle name="Normal 11 2 2" xfId="2836"/>
    <cellStyle name="Normal 11 3" xfId="2837"/>
    <cellStyle name="Normal 11 3 2" xfId="2838"/>
    <cellStyle name="Normal 11 3 2 2" xfId="2839"/>
    <cellStyle name="Normal 11 3 2 2 2" xfId="2840"/>
    <cellStyle name="Normal 11 3 2 3" xfId="2841"/>
    <cellStyle name="Normal 11 3 3" xfId="2842"/>
    <cellStyle name="Normal 11 3 3 2" xfId="2843"/>
    <cellStyle name="Normal 11 3 3 2 2" xfId="2844"/>
    <cellStyle name="Normal 11 3 3 2 2 2" xfId="2845"/>
    <cellStyle name="Normal 11 3 3 2 3" xfId="2846"/>
    <cellStyle name="Normal 11 3 3 3" xfId="2847"/>
    <cellStyle name="Normal 11 3 3 3 2" xfId="2848"/>
    <cellStyle name="Normal 11 3 3 4" xfId="2849"/>
    <cellStyle name="Normal 11 3 4" xfId="2850"/>
    <cellStyle name="Normal 11 3 4 2" xfId="2851"/>
    <cellStyle name="Normal 11 3 4 2 2" xfId="2852"/>
    <cellStyle name="Normal 11 3 4 2 2 2" xfId="2853"/>
    <cellStyle name="Normal 11 3 4 2 2 2 2" xfId="2854"/>
    <cellStyle name="Normal 11 3 4 2 2 2 2 2" xfId="2855"/>
    <cellStyle name="Normal 11 3 4 2 2 2 3" xfId="2856"/>
    <cellStyle name="Normal 11 3 4 2 2 3" xfId="2857"/>
    <cellStyle name="Normal 11 3 4 2 2 3 2" xfId="2858"/>
    <cellStyle name="Normal 11 3 4 2 2 4" xfId="2859"/>
    <cellStyle name="Normal 11 3 4 2 3" xfId="2860"/>
    <cellStyle name="Normal 11 3 4 2 3 2" xfId="2861"/>
    <cellStyle name="Normal 11 3 4 2 3 2 2" xfId="2862"/>
    <cellStyle name="Normal 11 3 4 2 3 3" xfId="2863"/>
    <cellStyle name="Normal 11 3 4 2 4" xfId="2864"/>
    <cellStyle name="Normal 11 3 4 2 4 2" xfId="2865"/>
    <cellStyle name="Normal 11 3 4 2 5" xfId="2866"/>
    <cellStyle name="Normal 11 3 4 3" xfId="2867"/>
    <cellStyle name="Normal 11 3 4 3 2" xfId="2868"/>
    <cellStyle name="Normal 11 3 4 3 2 2" xfId="2869"/>
    <cellStyle name="Normal 11 3 4 3 2 2 2" xfId="2870"/>
    <cellStyle name="Normal 11 3 4 3 2 2 2 2" xfId="2871"/>
    <cellStyle name="Normal 11 3 4 3 2 2 3" xfId="2872"/>
    <cellStyle name="Normal 11 3 4 3 2 3" xfId="2873"/>
    <cellStyle name="Normal 11 3 4 3 2 3 2" xfId="2874"/>
    <cellStyle name="Normal 11 3 4 3 2 4" xfId="2875"/>
    <cellStyle name="Normal 11 3 4 3 3" xfId="2876"/>
    <cellStyle name="Normal 11 3 4 3 3 2" xfId="2877"/>
    <cellStyle name="Normal 11 3 4 3 3 2 2" xfId="2878"/>
    <cellStyle name="Normal 11 3 4 3 3 3" xfId="2879"/>
    <cellStyle name="Normal 11 3 4 3 4" xfId="2880"/>
    <cellStyle name="Normal 11 3 4 3 4 2" xfId="2881"/>
    <cellStyle name="Normal 11 3 4 3 5" xfId="2882"/>
    <cellStyle name="Normal 11 3 4 4" xfId="2883"/>
    <cellStyle name="Normal 11 3 4 4 2" xfId="2884"/>
    <cellStyle name="Normal 11 3 4 4 2 2" xfId="2885"/>
    <cellStyle name="Normal 11 3 4 4 3" xfId="2886"/>
    <cellStyle name="Normal 11 3 4 5" xfId="2887"/>
    <cellStyle name="Normal 11 3 4 5 2" xfId="2888"/>
    <cellStyle name="Normal 11 3 4 6" xfId="2889"/>
    <cellStyle name="Normal 11 3 4 6 2" xfId="2890"/>
    <cellStyle name="Normal 11 3 4 7" xfId="2891"/>
    <cellStyle name="Normal 11 3 5" xfId="2892"/>
    <cellStyle name="Normal 11 3 5 2" xfId="2893"/>
    <cellStyle name="Normal 11 3 6" xfId="2894"/>
    <cellStyle name="Normal 12" xfId="24"/>
    <cellStyle name="Normal 12 2" xfId="2896"/>
    <cellStyle name="Normal 12 3" xfId="2897"/>
    <cellStyle name="Normal 12 4" xfId="2895"/>
    <cellStyle name="Normal 13" xfId="2898"/>
    <cellStyle name="Normal 13 2" xfId="2899"/>
    <cellStyle name="Normal 13 3" xfId="2900"/>
    <cellStyle name="Normal 14" xfId="2901"/>
    <cellStyle name="Normal 14 2" xfId="2902"/>
    <cellStyle name="Normal 14 3" xfId="2903"/>
    <cellStyle name="Normal 15" xfId="2904"/>
    <cellStyle name="Normal 15 2" xfId="2905"/>
    <cellStyle name="Normal 15 3" xfId="2906"/>
    <cellStyle name="Normal 15 4" xfId="2907"/>
    <cellStyle name="Normal 16" xfId="2908"/>
    <cellStyle name="Normal 16 2" xfId="2909"/>
    <cellStyle name="Normal 16 2 2" xfId="2910"/>
    <cellStyle name="Normal 16 2 2 2" xfId="2911"/>
    <cellStyle name="Normal 16 2 2 2 2" xfId="2912"/>
    <cellStyle name="Normal 16 2 2 2 2 2" xfId="2913"/>
    <cellStyle name="Normal 16 2 2 2 3" xfId="2914"/>
    <cellStyle name="Normal 16 2 2 3" xfId="2915"/>
    <cellStyle name="Normal 16 2 2 4" xfId="2916"/>
    <cellStyle name="Normal 16 2 2 4 2" xfId="2917"/>
    <cellStyle name="Normal 16 2 2 5" xfId="2918"/>
    <cellStyle name="Normal 16 2 3" xfId="2919"/>
    <cellStyle name="Normal 16 2 3 2" xfId="2920"/>
    <cellStyle name="Normal 16 2 3 2 2" xfId="2921"/>
    <cellStyle name="Normal 16 2 3 2 2 2" xfId="2922"/>
    <cellStyle name="Normal 16 2 3 2 3" xfId="2923"/>
    <cellStyle name="Normal 16 2 3 3" xfId="2924"/>
    <cellStyle name="Normal 16 2 3 3 2" xfId="2925"/>
    <cellStyle name="Normal 16 2 3 4" xfId="2926"/>
    <cellStyle name="Normal 16 2 4" xfId="2927"/>
    <cellStyle name="Normal 16 3" xfId="2928"/>
    <cellStyle name="Normal 16 4" xfId="2929"/>
    <cellStyle name="Normal 16 4 2" xfId="2930"/>
    <cellStyle name="Normal 16 4 2 2" xfId="2931"/>
    <cellStyle name="Normal 16 4 2 2 2" xfId="2932"/>
    <cellStyle name="Normal 16 4 2 3" xfId="2933"/>
    <cellStyle name="Normal 16 4 3" xfId="2934"/>
    <cellStyle name="Normal 16 4 3 2" xfId="2935"/>
    <cellStyle name="Normal 16 4 4" xfId="2936"/>
    <cellStyle name="Normal 16 5" xfId="2937"/>
    <cellStyle name="Normal 16 5 2" xfId="2938"/>
    <cellStyle name="Normal 16 5 2 2" xfId="2939"/>
    <cellStyle name="Normal 16 5 2 2 2" xfId="2940"/>
    <cellStyle name="Normal 16 5 2 3" xfId="2941"/>
    <cellStyle name="Normal 16 5 3" xfId="2942"/>
    <cellStyle name="Normal 16 5 3 2" xfId="2943"/>
    <cellStyle name="Normal 16 5 4" xfId="2944"/>
    <cellStyle name="Normal 17" xfId="2945"/>
    <cellStyle name="Normal 17 2" xfId="2946"/>
    <cellStyle name="Normal 17 3 2" xfId="2947"/>
    <cellStyle name="Normal 17 3 2 2" xfId="2948"/>
    <cellStyle name="Normal 17 3 2 2 2" xfId="2949"/>
    <cellStyle name="Normal 17 3 2 2 2 2" xfId="2950"/>
    <cellStyle name="Normal 17 3 2 2 2 2 2" xfId="2951"/>
    <cellStyle name="Normal 17 3 2 2 2 3" xfId="2952"/>
    <cellStyle name="Normal 17 3 2 2 3" xfId="2953"/>
    <cellStyle name="Normal 17 3 2 2 3 2" xfId="2954"/>
    <cellStyle name="Normal 17 3 2 2 4" xfId="2955"/>
    <cellStyle name="Normal 17 3 2 3" xfId="2956"/>
    <cellStyle name="Normal 17 3 2 3 2" xfId="2957"/>
    <cellStyle name="Normal 17 3 2 3 2 2" xfId="2958"/>
    <cellStyle name="Normal 17 3 2 3 2 2 2" xfId="2959"/>
    <cellStyle name="Normal 17 3 2 3 2 3" xfId="2960"/>
    <cellStyle name="Normal 17 3 2 3 3" xfId="2961"/>
    <cellStyle name="Normal 17 3 2 3 3 2" xfId="2962"/>
    <cellStyle name="Normal 17 3 2 3 4" xfId="2963"/>
    <cellStyle name="Normal 17 3 2 4" xfId="2964"/>
    <cellStyle name="Normal 17 3 2 4 2" xfId="2965"/>
    <cellStyle name="Normal 17 3 2 4 2 2" xfId="2966"/>
    <cellStyle name="Normal 17 3 2 4 3" xfId="2967"/>
    <cellStyle name="Normal 17 3 2 5" xfId="2968"/>
    <cellStyle name="Normal 17 3 2 5 2" xfId="2969"/>
    <cellStyle name="Normal 17 3 2 6" xfId="2970"/>
    <cellStyle name="Normal 18" xfId="2971"/>
    <cellStyle name="Normal 18 2" xfId="2972"/>
    <cellStyle name="Normal 18 2 2" xfId="2973"/>
    <cellStyle name="Normal 18 3" xfId="2974"/>
    <cellStyle name="Normal 18_05-12  KH trung han 2016-2020 - Liem Thinh edited" xfId="2975"/>
    <cellStyle name="Normal 19" xfId="2976"/>
    <cellStyle name="Normal 19 2" xfId="2977"/>
    <cellStyle name="Normal 19 3" xfId="2978"/>
    <cellStyle name="Normal 2" xfId="5"/>
    <cellStyle name="Normal 2 10" xfId="2979"/>
    <cellStyle name="Normal 2 10 2" xfId="2980"/>
    <cellStyle name="Normal 2 11" xfId="2981"/>
    <cellStyle name="Normal 2 11 2" xfId="2982"/>
    <cellStyle name="Normal 2 12" xfId="2983"/>
    <cellStyle name="Normal 2 12 2" xfId="2984"/>
    <cellStyle name="Normal 2 13" xfId="2985"/>
    <cellStyle name="Normal 2 13 2" xfId="2986"/>
    <cellStyle name="Normal 2 14" xfId="2987"/>
    <cellStyle name="Normal 2 14 2" xfId="2988"/>
    <cellStyle name="Normal 2 15" xfId="2989"/>
    <cellStyle name="Normal 2 16" xfId="2990"/>
    <cellStyle name="Normal 2 17" xfId="2991"/>
    <cellStyle name="Normal 2 18" xfId="2992"/>
    <cellStyle name="Normal 2 19" xfId="2993"/>
    <cellStyle name="Normal 2 2" xfId="36"/>
    <cellStyle name="Normal 2 2 10" xfId="2994"/>
    <cellStyle name="Normal 2 2 10 2" xfId="2995"/>
    <cellStyle name="Normal 2 2 11" xfId="2996"/>
    <cellStyle name="Normal 2 2 12" xfId="2997"/>
    <cellStyle name="Normal 2 2 13" xfId="2998"/>
    <cellStyle name="Normal 2 2 14" xfId="2999"/>
    <cellStyle name="Normal 2 2 15" xfId="3000"/>
    <cellStyle name="Normal 2 2 16" xfId="3001"/>
    <cellStyle name="Normal 2 2 17" xfId="3002"/>
    <cellStyle name="Normal 2 2 2" xfId="3003"/>
    <cellStyle name="Normal 2 2 2 2" xfId="3004"/>
    <cellStyle name="Normal 2 2 2 2 2" xfId="3005"/>
    <cellStyle name="Normal 2 2 2 3" xfId="3006"/>
    <cellStyle name="Normal 2 2 3" xfId="3007"/>
    <cellStyle name="Normal 2 2 33 4" xfId="3008"/>
    <cellStyle name="Normal 2 2 33 4 2" xfId="3009"/>
    <cellStyle name="Normal 2 2 33 4 2 2" xfId="3010"/>
    <cellStyle name="Normal 2 2 33 4 2 2 2" xfId="3011"/>
    <cellStyle name="Normal 2 2 33 4 2 2 2 2" xfId="3012"/>
    <cellStyle name="Normal 2 2 33 4 2 2 3" xfId="3013"/>
    <cellStyle name="Normal 2 2 33 4 2 3" xfId="3014"/>
    <cellStyle name="Normal 2 2 33 4 2 3 2" xfId="3015"/>
    <cellStyle name="Normal 2 2 33 4 2 4" xfId="3016"/>
    <cellStyle name="Normal 2 2 33 4 3" xfId="3017"/>
    <cellStyle name="Normal 2 2 33 4 3 2" xfId="3018"/>
    <cellStyle name="Normal 2 2 33 4 3 2 2" xfId="3019"/>
    <cellStyle name="Normal 2 2 33 4 3 3" xfId="3020"/>
    <cellStyle name="Normal 2 2 33 4 4" xfId="3021"/>
    <cellStyle name="Normal 2 2 33 4 4 2" xfId="3022"/>
    <cellStyle name="Normal 2 2 33 4 5" xfId="3023"/>
    <cellStyle name="Normal 2 2 4" xfId="3024"/>
    <cellStyle name="Normal 2 2 4 2" xfId="3025"/>
    <cellStyle name="Normal 2 2 4 3" xfId="3026"/>
    <cellStyle name="Normal 2 2 5" xfId="3027"/>
    <cellStyle name="Normal 2 2 6" xfId="3028"/>
    <cellStyle name="Normal 2 2 7" xfId="3029"/>
    <cellStyle name="Normal 2 2 8" xfId="3030"/>
    <cellStyle name="Normal 2 2 9" xfId="3031"/>
    <cellStyle name="Normal 2 2_Biểu 17 - Ứng trước NSTW chưa thu hồi" xfId="3032"/>
    <cellStyle name="Normal 2 20" xfId="3033"/>
    <cellStyle name="Normal 2 21" xfId="3034"/>
    <cellStyle name="Normal 2 22" xfId="3035"/>
    <cellStyle name="Normal 2 23" xfId="3036"/>
    <cellStyle name="Normal 2 24" xfId="3037"/>
    <cellStyle name="Normal 2 25" xfId="3038"/>
    <cellStyle name="Normal 2 26" xfId="3039"/>
    <cellStyle name="Normal 2 26 2" xfId="3040"/>
    <cellStyle name="Normal 2 27" xfId="3041"/>
    <cellStyle name="Normal 2 28" xfId="3042"/>
    <cellStyle name="Normal 2 28 2" xfId="3043"/>
    <cellStyle name="Normal 2 28 2 2" xfId="3044"/>
    <cellStyle name="Normal 2 28 2 2 2" xfId="3045"/>
    <cellStyle name="Normal 2 28 2 3" xfId="3046"/>
    <cellStyle name="Normal 2 28 3" xfId="3047"/>
    <cellStyle name="Normal 2 28 3 2" xfId="3048"/>
    <cellStyle name="Normal 2 28 4" xfId="3049"/>
    <cellStyle name="Normal 2 29" xfId="3050"/>
    <cellStyle name="Normal 2 29 2" xfId="3051"/>
    <cellStyle name="Normal 2 29 2 2" xfId="3052"/>
    <cellStyle name="Normal 2 29 3" xfId="3053"/>
    <cellStyle name="Normal 2 3" xfId="21"/>
    <cellStyle name="Normal 2 3 2" xfId="3054"/>
    <cellStyle name="Normal 2 3 2 2" xfId="3055"/>
    <cellStyle name="Normal 2 3 3" xfId="3056"/>
    <cellStyle name="Normal 2 3_12-09-2014 thinh (luat dau tu  cong) bao cao von CTMT  Bieu Mau THien KH 2011-2015 va XDung KH DTu Cong Trung han 2016-2020" xfId="3057"/>
    <cellStyle name="Normal 2 30" xfId="3058"/>
    <cellStyle name="Normal 2 31" xfId="3059"/>
    <cellStyle name="Normal 2 32" xfId="3060"/>
    <cellStyle name="Normal 2 33" xfId="3061"/>
    <cellStyle name="Normal 2 34" xfId="3062"/>
    <cellStyle name="Normal 2 35" xfId="3063"/>
    <cellStyle name="Normal 2 35 2" xfId="3064"/>
    <cellStyle name="Normal 2 36" xfId="3065"/>
    <cellStyle name="Normal 2 37" xfId="3066"/>
    <cellStyle name="Normal 2 38" xfId="5244"/>
    <cellStyle name="Normal 2 39" xfId="5248"/>
    <cellStyle name="Normal 2 4" xfId="3067"/>
    <cellStyle name="Normal 2 4 2" xfId="3068"/>
    <cellStyle name="Normal 2 4 2 2" xfId="3069"/>
    <cellStyle name="Normal 2 4 2 3" xfId="3070"/>
    <cellStyle name="Normal 2 4 3" xfId="3071"/>
    <cellStyle name="Normal 2 4 3 2" xfId="3072"/>
    <cellStyle name="Normal 2 4 4" xfId="3073"/>
    <cellStyle name="Normal 2 4 5" xfId="3074"/>
    <cellStyle name="Normal 2 40" xfId="5241"/>
    <cellStyle name="Normal 2 41" xfId="5250"/>
    <cellStyle name="Normal 2 42" xfId="5246"/>
    <cellStyle name="Normal 2 43" xfId="5252"/>
    <cellStyle name="Normal 2 5" xfId="3075"/>
    <cellStyle name="Normal 2 5 2" xfId="3076"/>
    <cellStyle name="Normal 2 5 2 2" xfId="3077"/>
    <cellStyle name="Normal 2 5 3" xfId="3078"/>
    <cellStyle name="Normal 2 6" xfId="3079"/>
    <cellStyle name="Normal 2 6 2" xfId="3080"/>
    <cellStyle name="Normal 2 6 2 2" xfId="3081"/>
    <cellStyle name="Normal 2 7" xfId="3082"/>
    <cellStyle name="Normal 2 7 2" xfId="3083"/>
    <cellStyle name="Normal 2 7 2 2" xfId="3084"/>
    <cellStyle name="Normal 2 8" xfId="39"/>
    <cellStyle name="Normal 2 8 2" xfId="3085"/>
    <cellStyle name="Normal 2 8 2 2" xfId="3086"/>
    <cellStyle name="Normal 2 8 3" xfId="3087"/>
    <cellStyle name="Normal 2 9" xfId="3088"/>
    <cellStyle name="Normal 2 9 2" xfId="3089"/>
    <cellStyle name="Normal 2_05-12  KH trung han 2016-2020 - Liem Thinh edited" xfId="3090"/>
    <cellStyle name="Normal 20" xfId="3091"/>
    <cellStyle name="Normal 20 2" xfId="3092"/>
    <cellStyle name="Normal 20 3" xfId="3093"/>
    <cellStyle name="Normal 21" xfId="3094"/>
    <cellStyle name="Normal 21 2" xfId="3095"/>
    <cellStyle name="Normal 22" xfId="3096"/>
    <cellStyle name="Normal 22 2" xfId="3097"/>
    <cellStyle name="Normal 23" xfId="3098"/>
    <cellStyle name="Normal 23 2" xfId="3099"/>
    <cellStyle name="Normal 23 3" xfId="3100"/>
    <cellStyle name="Normal 24" xfId="3101"/>
    <cellStyle name="Normal 24 2" xfId="3102"/>
    <cellStyle name="Normal 24 2 2" xfId="3103"/>
    <cellStyle name="Normal 25" xfId="3104"/>
    <cellStyle name="Normal 25 2" xfId="3105"/>
    <cellStyle name="Normal 25 3" xfId="3106"/>
    <cellStyle name="Normal 26" xfId="3107"/>
    <cellStyle name="Normal 26 2" xfId="3108"/>
    <cellStyle name="Normal 27" xfId="3109"/>
    <cellStyle name="Normal 27 2" xfId="3110"/>
    <cellStyle name="Normal 28" xfId="3111"/>
    <cellStyle name="Normal 28 2" xfId="3112"/>
    <cellStyle name="Normal 29" xfId="3113"/>
    <cellStyle name="Normal 29 2" xfId="3114"/>
    <cellStyle name="Normal 3" xfId="13"/>
    <cellStyle name="Normal 3 10" xfId="3116"/>
    <cellStyle name="Normal 3 11" xfId="3117"/>
    <cellStyle name="Normal 3 12" xfId="3118"/>
    <cellStyle name="Normal 3 13" xfId="3119"/>
    <cellStyle name="Normal 3 14" xfId="3120"/>
    <cellStyle name="Normal 3 15" xfId="3121"/>
    <cellStyle name="Normal 3 16" xfId="3122"/>
    <cellStyle name="Normal 3 17" xfId="3123"/>
    <cellStyle name="Normal 3 18" xfId="3124"/>
    <cellStyle name="Normal 3 19" xfId="3115"/>
    <cellStyle name="Normal 3 2" xfId="3125"/>
    <cellStyle name="Normal 3 2 10" xfId="3126"/>
    <cellStyle name="Normal 3 2 2" xfId="3127"/>
    <cellStyle name="Normal 3 2 2 2" xfId="3128"/>
    <cellStyle name="Normal 3 2 3" xfId="3129"/>
    <cellStyle name="Normal 3 2 3 2" xfId="3130"/>
    <cellStyle name="Normal 3 2 4" xfId="3131"/>
    <cellStyle name="Normal 3 2 5" xfId="3132"/>
    <cellStyle name="Normal 3 2 5 2" xfId="3133"/>
    <cellStyle name="Normal 3 2 5 2 2" xfId="3134"/>
    <cellStyle name="Normal 3 2 5 2 2 2" xfId="3135"/>
    <cellStyle name="Normal 3 2 5 2 3" xfId="3136"/>
    <cellStyle name="Normal 3 2 5 3" xfId="3137"/>
    <cellStyle name="Normal 3 2 5 3 2" xfId="3138"/>
    <cellStyle name="Normal 3 2 5 4" xfId="3139"/>
    <cellStyle name="Normal 3 2 6" xfId="3140"/>
    <cellStyle name="Normal 3 2 6 2" xfId="3141"/>
    <cellStyle name="Normal 3 2 6 2 2" xfId="3142"/>
    <cellStyle name="Normal 3 2 6 2 2 2" xfId="3143"/>
    <cellStyle name="Normal 3 2 6 2 3" xfId="3144"/>
    <cellStyle name="Normal 3 2 6 3" xfId="3145"/>
    <cellStyle name="Normal 3 2 6 3 2" xfId="3146"/>
    <cellStyle name="Normal 3 2 6 4" xfId="3147"/>
    <cellStyle name="Normal 3 2 7" xfId="3148"/>
    <cellStyle name="Normal 3 2 7 2" xfId="3149"/>
    <cellStyle name="Normal 3 2 7 2 2" xfId="3150"/>
    <cellStyle name="Normal 3 2 7 3" xfId="3151"/>
    <cellStyle name="Normal 3 2 8" xfId="3152"/>
    <cellStyle name="Normal 3 2 8 2" xfId="3153"/>
    <cellStyle name="Normal 3 2 8 2 2" xfId="3154"/>
    <cellStyle name="Normal 3 2 8 3" xfId="3155"/>
    <cellStyle name="Normal 3 2 9" xfId="3156"/>
    <cellStyle name="Normal 3 2 9 2" xfId="3157"/>
    <cellStyle name="Normal 3 3" xfId="3158"/>
    <cellStyle name="Normal 3 3 2" xfId="3159"/>
    <cellStyle name="Normal 3 4" xfId="3160"/>
    <cellStyle name="Normal 3 4 2" xfId="3161"/>
    <cellStyle name="Normal 3 5" xfId="3162"/>
    <cellStyle name="Normal 3 6" xfId="3163"/>
    <cellStyle name="Normal 3 7" xfId="3164"/>
    <cellStyle name="Normal 3 8" xfId="3165"/>
    <cellStyle name="Normal 3 9" xfId="3166"/>
    <cellStyle name="Normal 3_Bieu TH TPCP Vung TNB ngay 4-1-2012" xfId="3167"/>
    <cellStyle name="Normal 30" xfId="3168"/>
    <cellStyle name="Normal 30 2" xfId="3169"/>
    <cellStyle name="Normal 30 2 2" xfId="3170"/>
    <cellStyle name="Normal 30 2 2 2" xfId="3171"/>
    <cellStyle name="Normal 30 2 2 2 2" xfId="3172"/>
    <cellStyle name="Normal 30 2 2 3" xfId="3173"/>
    <cellStyle name="Normal 30 2 3" xfId="3174"/>
    <cellStyle name="Normal 30 2 3 2" xfId="3175"/>
    <cellStyle name="Normal 30 2 4" xfId="3176"/>
    <cellStyle name="Normal 30 3" xfId="3177"/>
    <cellStyle name="Normal 30 3 2" xfId="3178"/>
    <cellStyle name="Normal 30 3 2 2" xfId="3179"/>
    <cellStyle name="Normal 30 3 2 2 2" xfId="3180"/>
    <cellStyle name="Normal 30 3 2 3" xfId="3181"/>
    <cellStyle name="Normal 30 3 3" xfId="3182"/>
    <cellStyle name="Normal 30 3 3 2" xfId="3183"/>
    <cellStyle name="Normal 30 3 4" xfId="3184"/>
    <cellStyle name="Normal 30 4" xfId="3185"/>
    <cellStyle name="Normal 30 4 2" xfId="3186"/>
    <cellStyle name="Normal 30 4 2 2" xfId="3187"/>
    <cellStyle name="Normal 30 4 3" xfId="3188"/>
    <cellStyle name="Normal 30 5" xfId="3189"/>
    <cellStyle name="Normal 30 5 2" xfId="3190"/>
    <cellStyle name="Normal 30 6" xfId="3191"/>
    <cellStyle name="Normal 30 6 2" xfId="3192"/>
    <cellStyle name="Normal 30 7" xfId="3193"/>
    <cellStyle name="Normal 31" xfId="3194"/>
    <cellStyle name="Normal 31 2" xfId="3195"/>
    <cellStyle name="Normal 31 2 2" xfId="3196"/>
    <cellStyle name="Normal 31 2 2 2" xfId="3197"/>
    <cellStyle name="Normal 31 2 2 2 2" xfId="3198"/>
    <cellStyle name="Normal 31 2 2 3" xfId="3199"/>
    <cellStyle name="Normal 31 2 3" xfId="3200"/>
    <cellStyle name="Normal 31 2 3 2" xfId="3201"/>
    <cellStyle name="Normal 31 2 3 2 2" xfId="3202"/>
    <cellStyle name="Normal 31 2 3 3" xfId="3203"/>
    <cellStyle name="Normal 31 2 3 3 2" xfId="3204"/>
    <cellStyle name="Normal 31 2 4" xfId="3205"/>
    <cellStyle name="Normal 31 3" xfId="3206"/>
    <cellStyle name="Normal 31 3 2" xfId="3207"/>
    <cellStyle name="Normal 31 3 2 2" xfId="3208"/>
    <cellStyle name="Normal 31 3 2 2 2" xfId="3209"/>
    <cellStyle name="Normal 31 3 2 3" xfId="3210"/>
    <cellStyle name="Normal 31 3 3" xfId="3211"/>
    <cellStyle name="Normal 31 3 3 2" xfId="3212"/>
    <cellStyle name="Normal 31 3 4" xfId="3213"/>
    <cellStyle name="Normal 31 4" xfId="3214"/>
    <cellStyle name="Normal 31 4 2" xfId="3215"/>
    <cellStyle name="Normal 31 4 2 2" xfId="3216"/>
    <cellStyle name="Normal 31 4 3" xfId="3217"/>
    <cellStyle name="Normal 31 5" xfId="3218"/>
    <cellStyle name="Normal 31 5 2" xfId="3219"/>
    <cellStyle name="Normal 31 6" xfId="3220"/>
    <cellStyle name="Normal 32" xfId="3221"/>
    <cellStyle name="Normal 32 2" xfId="3222"/>
    <cellStyle name="Normal 32 2 2" xfId="3223"/>
    <cellStyle name="Normal 32 2 2 2" xfId="3224"/>
    <cellStyle name="Normal 32 2 2 2 2" xfId="3225"/>
    <cellStyle name="Normal 32 2 2 3" xfId="3226"/>
    <cellStyle name="Normal 32 2 3" xfId="3227"/>
    <cellStyle name="Normal 32 2 3 2" xfId="3228"/>
    <cellStyle name="Normal 32 2 4" xfId="3229"/>
    <cellStyle name="Normal 33" xfId="3230"/>
    <cellStyle name="Normal 33 2" xfId="3231"/>
    <cellStyle name="Normal 34" xfId="3232"/>
    <cellStyle name="Normal 35" xfId="3233"/>
    <cellStyle name="Normal 36" xfId="3234"/>
    <cellStyle name="Normal 37" xfId="3235"/>
    <cellStyle name="Normal 37 2" xfId="3236"/>
    <cellStyle name="Normal 37 2 2" xfId="3237"/>
    <cellStyle name="Normal 37 2 3" xfId="3238"/>
    <cellStyle name="Normal 37 3" xfId="3239"/>
    <cellStyle name="Normal 37 3 2" xfId="3240"/>
    <cellStyle name="Normal 37 4" xfId="3241"/>
    <cellStyle name="Normal 38" xfId="3242"/>
    <cellStyle name="Normal 38 2" xfId="3243"/>
    <cellStyle name="Normal 38 2 2" xfId="3244"/>
    <cellStyle name="Normal 39" xfId="3245"/>
    <cellStyle name="Normal 39 2" xfId="3246"/>
    <cellStyle name="Normal 39 2 2" xfId="3247"/>
    <cellStyle name="Normal 39 2 2 2" xfId="3248"/>
    <cellStyle name="Normal 39 2 2 2 2" xfId="3249"/>
    <cellStyle name="Normal 39 2 2 3" xfId="3250"/>
    <cellStyle name="Normal 39 2 3" xfId="3251"/>
    <cellStyle name="Normal 39 2 3 2" xfId="3252"/>
    <cellStyle name="Normal 39 2 4" xfId="3253"/>
    <cellStyle name="Normal 39 3" xfId="3254"/>
    <cellStyle name="Normal 39 3 2" xfId="3255"/>
    <cellStyle name="Normal 39 3 2 2" xfId="3256"/>
    <cellStyle name="Normal 39 3 2 2 2" xfId="3257"/>
    <cellStyle name="Normal 39 3 2 3" xfId="3258"/>
    <cellStyle name="Normal 39 3 3" xfId="3259"/>
    <cellStyle name="Normal 39 3 3 2" xfId="3260"/>
    <cellStyle name="Normal 39 3 4" xfId="3261"/>
    <cellStyle name="Normal 4" xfId="3262"/>
    <cellStyle name="Normal 4 10" xfId="3263"/>
    <cellStyle name="Normal 4 11" xfId="3264"/>
    <cellStyle name="Normal 4 12" xfId="3265"/>
    <cellStyle name="Normal 4 13" xfId="3266"/>
    <cellStyle name="Normal 4 14" xfId="3267"/>
    <cellStyle name="Normal 4 15" xfId="3268"/>
    <cellStyle name="Normal 4 16" xfId="3269"/>
    <cellStyle name="Normal 4 17" xfId="3270"/>
    <cellStyle name="Normal 4 2" xfId="3271"/>
    <cellStyle name="Normal 4 2 2" xfId="3272"/>
    <cellStyle name="Normal 4 2 2 2" xfId="3273"/>
    <cellStyle name="Normal 4 3" xfId="3274"/>
    <cellStyle name="Normal 4 4" xfId="3275"/>
    <cellStyle name="Normal 4 5" xfId="3276"/>
    <cellStyle name="Normal 4 6" xfId="3277"/>
    <cellStyle name="Normal 4 7" xfId="3278"/>
    <cellStyle name="Normal 4 8" xfId="3279"/>
    <cellStyle name="Normal 4 9" xfId="3280"/>
    <cellStyle name="Normal 4_Bang bieu" xfId="3281"/>
    <cellStyle name="Normal 40" xfId="3282"/>
    <cellStyle name="Normal 41" xfId="3283"/>
    <cellStyle name="Normal 42" xfId="3284"/>
    <cellStyle name="Normal 43" xfId="3285"/>
    <cellStyle name="Normal 44" xfId="3286"/>
    <cellStyle name="Normal 45" xfId="3287"/>
    <cellStyle name="Normal 46" xfId="3288"/>
    <cellStyle name="Normal 46 2" xfId="3289"/>
    <cellStyle name="Normal 46 2 2" xfId="3290"/>
    <cellStyle name="Normal 46 2 2 2" xfId="3291"/>
    <cellStyle name="Normal 46 2 3" xfId="3292"/>
    <cellStyle name="Normal 46 3" xfId="3293"/>
    <cellStyle name="Normal 46 3 2" xfId="3294"/>
    <cellStyle name="Normal 46 4" xfId="3295"/>
    <cellStyle name="Normal 47" xfId="3296"/>
    <cellStyle name="Normal 48" xfId="3297"/>
    <cellStyle name="Normal 49" xfId="3298"/>
    <cellStyle name="Normal 5" xfId="15"/>
    <cellStyle name="Normal 5 2" xfId="3300"/>
    <cellStyle name="Normal 5 2 2" xfId="3301"/>
    <cellStyle name="Normal 5 3" xfId="3302"/>
    <cellStyle name="Normal 5 3 2" xfId="3303"/>
    <cellStyle name="Normal 5 4" xfId="3299"/>
    <cellStyle name="Normal 50" xfId="3304"/>
    <cellStyle name="Normal 51" xfId="3305"/>
    <cellStyle name="Normal 52" xfId="3306"/>
    <cellStyle name="Normal 52 2" xfId="3307"/>
    <cellStyle name="Normal 52 2 2" xfId="3308"/>
    <cellStyle name="Normal 52 2 3" xfId="3309"/>
    <cellStyle name="Normal 52 2 3 2" xfId="3310"/>
    <cellStyle name="Normal 52 3" xfId="3311"/>
    <cellStyle name="Normal 52 5 2 2 2" xfId="3312"/>
    <cellStyle name="Normal 52 5 2 2 2 2" xfId="3313"/>
    <cellStyle name="Normal 53" xfId="3314"/>
    <cellStyle name="Normal 53 2" xfId="3315"/>
    <cellStyle name="Normal 53 2 2" xfId="3316"/>
    <cellStyle name="Normal 53 3" xfId="3317"/>
    <cellStyle name="Normal 54" xfId="3318"/>
    <cellStyle name="Normal 54 2" xfId="3319"/>
    <cellStyle name="Normal 54 2 2" xfId="3320"/>
    <cellStyle name="Normal 54 3" xfId="3321"/>
    <cellStyle name="Normal 54 4" xfId="3322"/>
    <cellStyle name="Normal 55" xfId="3323"/>
    <cellStyle name="Normal 55 2" xfId="3324"/>
    <cellStyle name="Normal 55 2 2" xfId="3325"/>
    <cellStyle name="Normal 55 2 2 2" xfId="3326"/>
    <cellStyle name="Normal 55 2 3" xfId="3327"/>
    <cellStyle name="Normal 55 3" xfId="3328"/>
    <cellStyle name="Normal 55 3 2" xfId="3329"/>
    <cellStyle name="Normal 55 4" xfId="3330"/>
    <cellStyle name="Normal 56" xfId="3331"/>
    <cellStyle name="Normal 56 2" xfId="3332"/>
    <cellStyle name="Normal 56 2 2" xfId="3333"/>
    <cellStyle name="Normal 56 2 2 2" xfId="3334"/>
    <cellStyle name="Normal 56 2 2 2 2" xfId="3335"/>
    <cellStyle name="Normal 56 2 2 3" xfId="3336"/>
    <cellStyle name="Normal 56 2 3" xfId="3337"/>
    <cellStyle name="Normal 56 2 3 2" xfId="3338"/>
    <cellStyle name="Normal 56 2 4" xfId="3339"/>
    <cellStyle name="Normal 56 3" xfId="3340"/>
    <cellStyle name="Normal 56 3 2" xfId="3341"/>
    <cellStyle name="Normal 56 3 2 2" xfId="3342"/>
    <cellStyle name="Normal 56 3 3" xfId="3343"/>
    <cellStyle name="Normal 56 4" xfId="3344"/>
    <cellStyle name="Normal 56 4 2" xfId="3345"/>
    <cellStyle name="Normal 56 5" xfId="3346"/>
    <cellStyle name="Normal 57" xfId="3347"/>
    <cellStyle name="Normal 57 2" xfId="3348"/>
    <cellStyle name="Normal 57 2 2" xfId="3349"/>
    <cellStyle name="Normal 57 3" xfId="3350"/>
    <cellStyle name="Normal 58" xfId="3351"/>
    <cellStyle name="Normal 58 2" xfId="3352"/>
    <cellStyle name="Normal 59" xfId="3353"/>
    <cellStyle name="Normal 6" xfId="14"/>
    <cellStyle name="Normal 6 10" xfId="3355"/>
    <cellStyle name="Normal 6 11" xfId="3356"/>
    <cellStyle name="Normal 6 12" xfId="3357"/>
    <cellStyle name="Normal 6 13" xfId="3358"/>
    <cellStyle name="Normal 6 14" xfId="3359"/>
    <cellStyle name="Normal 6 15" xfId="3360"/>
    <cellStyle name="Normal 6 16" xfId="3361"/>
    <cellStyle name="Normal 6 17" xfId="3354"/>
    <cellStyle name="Normal 6 2" xfId="3362"/>
    <cellStyle name="Normal 6 2 2" xfId="3363"/>
    <cellStyle name="Normal 6 3" xfId="3364"/>
    <cellStyle name="Normal 6 4" xfId="3365"/>
    <cellStyle name="Normal 6 4 2" xfId="3366"/>
    <cellStyle name="Normal 6 5" xfId="3367"/>
    <cellStyle name="Normal 6 6" xfId="3368"/>
    <cellStyle name="Normal 6 7" xfId="3369"/>
    <cellStyle name="Normal 6 8" xfId="3370"/>
    <cellStyle name="Normal 6 9" xfId="3371"/>
    <cellStyle name="Normal 6_TPCP trinh UBND ngay 27-12" xfId="3372"/>
    <cellStyle name="Normal 60" xfId="3373"/>
    <cellStyle name="Normal 60 2" xfId="3374"/>
    <cellStyle name="Normal 61" xfId="3375"/>
    <cellStyle name="Normal 62" xfId="3376"/>
    <cellStyle name="Normal 63" xfId="3377"/>
    <cellStyle name="Normal 64" xfId="5239"/>
    <cellStyle name="Normal 65" xfId="5247"/>
    <cellStyle name="Normal 66" xfId="3378"/>
    <cellStyle name="Normal 67" xfId="5253"/>
    <cellStyle name="Normal 68" xfId="5255"/>
    <cellStyle name="Normal 69" xfId="5256"/>
    <cellStyle name="Normal 7" xfId="22"/>
    <cellStyle name="Normal 7 2" xfId="3379"/>
    <cellStyle name="Normal 7 2 3" xfId="3380"/>
    <cellStyle name="Normal 7 3" xfId="3381"/>
    <cellStyle name="Normal 7 3 2" xfId="3382"/>
    <cellStyle name="Normal 7 3 2 2" xfId="3383"/>
    <cellStyle name="Normal 7 3 3" xfId="3384"/>
    <cellStyle name="Normal 7_!1 1 bao cao giao KH ve HTCMT vung TNB   12-12-2011" xfId="3385"/>
    <cellStyle name="Normal 70" xfId="5257"/>
    <cellStyle name="Normal 79" xfId="3386"/>
    <cellStyle name="Normal 79 2" xfId="3387"/>
    <cellStyle name="Normal 79 2 2" xfId="3388"/>
    <cellStyle name="Normal 79 2 2 2" xfId="3389"/>
    <cellStyle name="Normal 79 2 2 2 2" xfId="3390"/>
    <cellStyle name="Normal 79 2 2 3" xfId="3391"/>
    <cellStyle name="Normal 79 2 3" xfId="3392"/>
    <cellStyle name="Normal 79 2 3 2" xfId="3393"/>
    <cellStyle name="Normal 79 2 4" xfId="3394"/>
    <cellStyle name="Normal 79 3" xfId="3395"/>
    <cellStyle name="Normal 79 3 2" xfId="3396"/>
    <cellStyle name="Normal 79 3 2 2" xfId="3397"/>
    <cellStyle name="Normal 79 3 3" xfId="3398"/>
    <cellStyle name="Normal 79 4" xfId="3399"/>
    <cellStyle name="Normal 79 4 2" xfId="3400"/>
    <cellStyle name="Normal 79 5" xfId="3401"/>
    <cellStyle name="Normal 8" xfId="3402"/>
    <cellStyle name="Normal 8 2" xfId="3403"/>
    <cellStyle name="Normal 8 2 2" xfId="3404"/>
    <cellStyle name="Normal 8 2 2 2" xfId="3405"/>
    <cellStyle name="Normal 8 2 3" xfId="3406"/>
    <cellStyle name="Normal 8 3" xfId="3407"/>
    <cellStyle name="Normal 8_21.3.2012Tong hop von ung nam 2012(banBCa.Hong)" xfId="3408"/>
    <cellStyle name="Normal 821" xfId="3409"/>
    <cellStyle name="Normal 9" xfId="25"/>
    <cellStyle name="Normal 9 2" xfId="3411"/>
    <cellStyle name="Normal 9 3" xfId="3412"/>
    <cellStyle name="Normal 9 4" xfId="3413"/>
    <cellStyle name="Normal 9 4 2" xfId="3414"/>
    <cellStyle name="Normal 9 5" xfId="3410"/>
    <cellStyle name="Normal 9_Bieu KH trung han BKH TW" xfId="3415"/>
    <cellStyle name="Normal_Bieu mau (CV )" xfId="4"/>
    <cellStyle name="Normal_Bieu mau (CV ) 2" xfId="17"/>
    <cellStyle name="Normal_Tables_Commune" xfId="12"/>
    <cellStyle name="Normal1" xfId="3416"/>
    <cellStyle name="Normal8" xfId="3417"/>
    <cellStyle name="Normale_ PESO ELETTR." xfId="3418"/>
    <cellStyle name="Normalny_Cennik obowiazuje od 06-08-2001 r (1)" xfId="3419"/>
    <cellStyle name="Note 2" xfId="3420"/>
    <cellStyle name="Note 2 2" xfId="3421"/>
    <cellStyle name="Note 3" xfId="3422"/>
    <cellStyle name="Note 3 2" xfId="3423"/>
    <cellStyle name="Note 4" xfId="3424"/>
    <cellStyle name="Note 4 2" xfId="3425"/>
    <cellStyle name="Note 5" xfId="3426"/>
    <cellStyle name="Note 6" xfId="3427"/>
    <cellStyle name="Note 6 2" xfId="3428"/>
    <cellStyle name="NWM" xfId="3429"/>
    <cellStyle name="Ò_x000d_Normal_123569" xfId="3430"/>
    <cellStyle name="Ò_x005f_x000d_Normal_123569" xfId="3431"/>
    <cellStyle name="Ò_x005f_x005f_x005f_x000d_Normal_123569" xfId="3432"/>
    <cellStyle name="Œ…‹æØ‚è [0.00]_ÆÂ¹²" xfId="3433"/>
    <cellStyle name="Œ…‹æØ‚è_laroux" xfId="3434"/>
    <cellStyle name="oft Excel]&#10;&#10;Comment=open=/f ‚ðw’è‚·‚é‚ÆAƒ†[ƒU[’è‹`ŠÖ”‚ðŠÖ”“\‚è•t‚¯‚Ìˆê——‚É“o˜^‚·‚é‚±‚Æ‚ª‚Å‚«‚Ü‚·B&#10;&#10;Maximized" xfId="3435"/>
    <cellStyle name="oft Excel]&#10;&#10;Comment=The open=/f lines load custom functions into the Paste Function list.&#10;&#10;Maximized=2&#10;&#10;Basics=1&#10;&#10;A" xfId="3436"/>
    <cellStyle name="oft Excel]&#10;&#10;Comment=The open=/f lines load custom functions into the Paste Function list.&#10;&#10;Maximized=3&#10;&#10;Basics=1&#10;&#10;A" xfId="3437"/>
    <cellStyle name="oft Excel]_x000d_&#10;Comment=open=/f ‚ðw’è‚·‚é‚ÆAƒ†[ƒU[’è‹`ŠÖ”‚ðŠÖ”“\‚è•t‚¯‚Ìˆê——‚É“o˜^‚·‚é‚±‚Æ‚ª‚Å‚«‚Ü‚·B_x000d_&#10;Maximized" xfId="3438"/>
    <cellStyle name="oft Excel]_x000d_&#10;Comment=open=/f ‚ðŽw’è‚·‚é‚ÆAƒ†[ƒU[’è‹`ŠÖ”‚ðŠÖ”“\‚è•t‚¯‚Ìˆê——‚É“o˜^‚·‚é‚±‚Æ‚ª‚Å‚«‚Ü‚·B_x000d_&#10;Maximized" xfId="3439"/>
    <cellStyle name="oft Excel]_x000d_&#10;Comment=The open=/f lines load custom functions into the Paste Function list._x000d_&#10;Maximized=2_x000d_&#10;Basics=1_x000d_&#10;A" xfId="3440"/>
    <cellStyle name="oft Excel]_x000d_&#10;Comment=The open=/f lines load custom functions into the Paste Function list._x000d_&#10;Maximized=3_x000d_&#10;Basics=1_x000d_&#10;A" xfId="3441"/>
    <cellStyle name="oft Excel]_x005f_x000d__x005f_x000a_Comment=open=/f ‚ðw’è‚·‚é‚ÆAƒ†[ƒU[’è‹`ŠÖ”‚ðŠÖ”“\‚è•t‚¯‚Ìˆê——‚É“o˜^‚·‚é‚±‚Æ‚ª‚Å‚«‚Ü‚·B_x005f_x000d__x005f_x000a_Maximized" xfId="3442"/>
    <cellStyle name="omma [0]_Mktg Prog" xfId="3443"/>
    <cellStyle name="ormal_Sheet1_1" xfId="3444"/>
    <cellStyle name="Output 2" xfId="3445"/>
    <cellStyle name="Output 2 2" xfId="3446"/>
    <cellStyle name="p" xfId="3447"/>
    <cellStyle name="p 2" xfId="3448"/>
    <cellStyle name="p 3" xfId="3449"/>
    <cellStyle name="p 4" xfId="3450"/>
    <cellStyle name="paint" xfId="3451"/>
    <cellStyle name="paint 2" xfId="3452"/>
    <cellStyle name="paint 2 2" xfId="3453"/>
    <cellStyle name="paint_05-12  KH trung han 2016-2020 - Liem Thinh edited" xfId="3454"/>
    <cellStyle name="Pattern" xfId="3455"/>
    <cellStyle name="Pattern 10" xfId="3456"/>
    <cellStyle name="Pattern 11" xfId="3457"/>
    <cellStyle name="Pattern 12" xfId="3458"/>
    <cellStyle name="Pattern 13" xfId="3459"/>
    <cellStyle name="Pattern 14" xfId="3460"/>
    <cellStyle name="Pattern 15" xfId="3461"/>
    <cellStyle name="Pattern 16" xfId="3462"/>
    <cellStyle name="Pattern 2" xfId="3463"/>
    <cellStyle name="Pattern 3" xfId="3464"/>
    <cellStyle name="Pattern 4" xfId="3465"/>
    <cellStyle name="Pattern 5" xfId="3466"/>
    <cellStyle name="Pattern 6" xfId="3467"/>
    <cellStyle name="Pattern 7" xfId="3468"/>
    <cellStyle name="Pattern 8" xfId="3469"/>
    <cellStyle name="Pattern 9" xfId="3470"/>
    <cellStyle name="per.style" xfId="3471"/>
    <cellStyle name="per.style 2" xfId="3472"/>
    <cellStyle name="Percent %" xfId="3473"/>
    <cellStyle name="Percent % Long Underline" xfId="3474"/>
    <cellStyle name="Percent %_Worksheet in  US Financial Statements Ref. Workbook - Single Co" xfId="3475"/>
    <cellStyle name="Percent (0)" xfId="3476"/>
    <cellStyle name="Percent (0) 10" xfId="3477"/>
    <cellStyle name="Percent (0) 11" xfId="3478"/>
    <cellStyle name="Percent (0) 12" xfId="3479"/>
    <cellStyle name="Percent (0) 13" xfId="3480"/>
    <cellStyle name="Percent (0) 14" xfId="3481"/>
    <cellStyle name="Percent (0) 15" xfId="3482"/>
    <cellStyle name="Percent (0) 2" xfId="3483"/>
    <cellStyle name="Percent (0) 3" xfId="3484"/>
    <cellStyle name="Percent (0) 4" xfId="3485"/>
    <cellStyle name="Percent (0) 5" xfId="3486"/>
    <cellStyle name="Percent (0) 6" xfId="3487"/>
    <cellStyle name="Percent (0) 7" xfId="3488"/>
    <cellStyle name="Percent (0) 8" xfId="3489"/>
    <cellStyle name="Percent (0) 9" xfId="3490"/>
    <cellStyle name="Percent [0]" xfId="3491"/>
    <cellStyle name="Percent [0] 10" xfId="3492"/>
    <cellStyle name="Percent [0] 11" xfId="3493"/>
    <cellStyle name="Percent [0] 12" xfId="3494"/>
    <cellStyle name="Percent [0] 13" xfId="3495"/>
    <cellStyle name="Percent [0] 14" xfId="3496"/>
    <cellStyle name="Percent [0] 15" xfId="3497"/>
    <cellStyle name="Percent [0] 16" xfId="3498"/>
    <cellStyle name="Percent [0] 2" xfId="3499"/>
    <cellStyle name="Percent [0] 3" xfId="3500"/>
    <cellStyle name="Percent [0] 4" xfId="3501"/>
    <cellStyle name="Percent [0] 5" xfId="3502"/>
    <cellStyle name="Percent [0] 6" xfId="3503"/>
    <cellStyle name="Percent [0] 7" xfId="3504"/>
    <cellStyle name="Percent [0] 8" xfId="3505"/>
    <cellStyle name="Percent [0] 9" xfId="3506"/>
    <cellStyle name="Percent [00]" xfId="3507"/>
    <cellStyle name="Percent [00] 10" xfId="3508"/>
    <cellStyle name="Percent [00] 11" xfId="3509"/>
    <cellStyle name="Percent [00] 12" xfId="3510"/>
    <cellStyle name="Percent [00] 13" xfId="3511"/>
    <cellStyle name="Percent [00] 14" xfId="3512"/>
    <cellStyle name="Percent [00] 15" xfId="3513"/>
    <cellStyle name="Percent [00] 16" xfId="3514"/>
    <cellStyle name="Percent [00] 2" xfId="3515"/>
    <cellStyle name="Percent [00] 3" xfId="3516"/>
    <cellStyle name="Percent [00] 4" xfId="3517"/>
    <cellStyle name="Percent [00] 5" xfId="3518"/>
    <cellStyle name="Percent [00] 6" xfId="3519"/>
    <cellStyle name="Percent [00] 7" xfId="3520"/>
    <cellStyle name="Percent [00] 8" xfId="3521"/>
    <cellStyle name="Percent [00] 9" xfId="3522"/>
    <cellStyle name="Percent [2]" xfId="3523"/>
    <cellStyle name="Percent [2] 10" xfId="3524"/>
    <cellStyle name="Percent [2] 11" xfId="3525"/>
    <cellStyle name="Percent [2] 12" xfId="3526"/>
    <cellStyle name="Percent [2] 13" xfId="3527"/>
    <cellStyle name="Percent [2] 14" xfId="3528"/>
    <cellStyle name="Percent [2] 15" xfId="3529"/>
    <cellStyle name="Percent [2] 16" xfId="3530"/>
    <cellStyle name="Percent [2] 2" xfId="3531"/>
    <cellStyle name="Percent [2] 2 2" xfId="3532"/>
    <cellStyle name="Percent [2] 3" xfId="3533"/>
    <cellStyle name="Percent [2] 4" xfId="3534"/>
    <cellStyle name="Percent [2] 5" xfId="3535"/>
    <cellStyle name="Percent [2] 6" xfId="3536"/>
    <cellStyle name="Percent [2] 7" xfId="3537"/>
    <cellStyle name="Percent [2] 8" xfId="3538"/>
    <cellStyle name="Percent [2] 9" xfId="3539"/>
    <cellStyle name="Percent 0.0%" xfId="3540"/>
    <cellStyle name="Percent 0.0% Long Underline" xfId="3541"/>
    <cellStyle name="Percent 0.00%" xfId="3542"/>
    <cellStyle name="Percent 0.00% Long Underline" xfId="3543"/>
    <cellStyle name="Percent 0.000%" xfId="3544"/>
    <cellStyle name="Percent 0.000% Long Underline" xfId="3545"/>
    <cellStyle name="Percent 10" xfId="3546"/>
    <cellStyle name="Percent 10 2" xfId="3547"/>
    <cellStyle name="Percent 11" xfId="3548"/>
    <cellStyle name="Percent 11 2" xfId="3549"/>
    <cellStyle name="Percent 12" xfId="3550"/>
    <cellStyle name="Percent 12 2" xfId="3551"/>
    <cellStyle name="Percent 13" xfId="3552"/>
    <cellStyle name="Percent 13 2" xfId="3553"/>
    <cellStyle name="Percent 14" xfId="3554"/>
    <cellStyle name="Percent 14 2" xfId="3555"/>
    <cellStyle name="Percent 15" xfId="3556"/>
    <cellStyle name="Percent 16" xfId="3557"/>
    <cellStyle name="Percent 17" xfId="3558"/>
    <cellStyle name="Percent 18" xfId="3559"/>
    <cellStyle name="Percent 19" xfId="3560"/>
    <cellStyle name="Percent 19 2" xfId="3561"/>
    <cellStyle name="Percent 2" xfId="3562"/>
    <cellStyle name="Percent 2 2" xfId="3563"/>
    <cellStyle name="Percent 2 2 2" xfId="3564"/>
    <cellStyle name="Percent 2 2 3" xfId="3565"/>
    <cellStyle name="Percent 2 3" xfId="3566"/>
    <cellStyle name="Percent 2 4" xfId="3567"/>
    <cellStyle name="Percent 20" xfId="3568"/>
    <cellStyle name="Percent 20 2" xfId="3569"/>
    <cellStyle name="Percent 21" xfId="3570"/>
    <cellStyle name="Percent 22" xfId="3571"/>
    <cellStyle name="Percent 23" xfId="3572"/>
    <cellStyle name="Percent 24" xfId="3573"/>
    <cellStyle name="Percent 24 2" xfId="3574"/>
    <cellStyle name="Percent 25" xfId="3575"/>
    <cellStyle name="Percent 3" xfId="3576"/>
    <cellStyle name="Percent 3 2" xfId="3577"/>
    <cellStyle name="Percent 3 3" xfId="3578"/>
    <cellStyle name="Percent 3 3 2" xfId="3579"/>
    <cellStyle name="Percent 4" xfId="3580"/>
    <cellStyle name="Percent 5" xfId="3581"/>
    <cellStyle name="Percent 5 2" xfId="3582"/>
    <cellStyle name="Percent 6" xfId="3583"/>
    <cellStyle name="Percent 6 2" xfId="3584"/>
    <cellStyle name="Percent 7" xfId="3585"/>
    <cellStyle name="Percent 7 2" xfId="3586"/>
    <cellStyle name="Percent 8" xfId="3587"/>
    <cellStyle name="Percent 8 2" xfId="3588"/>
    <cellStyle name="Percent 9" xfId="3589"/>
    <cellStyle name="Percent 9 2" xfId="3590"/>
    <cellStyle name="PERCENTAGE" xfId="3591"/>
    <cellStyle name="PERCENTAGE 2" xfId="3592"/>
    <cellStyle name="PrePop Currency (0)" xfId="3593"/>
    <cellStyle name="PrePop Currency (0) 10" xfId="3594"/>
    <cellStyle name="PrePop Currency (0) 11" xfId="3595"/>
    <cellStyle name="PrePop Currency (0) 12" xfId="3596"/>
    <cellStyle name="PrePop Currency (0) 13" xfId="3597"/>
    <cellStyle name="PrePop Currency (0) 14" xfId="3598"/>
    <cellStyle name="PrePop Currency (0) 15" xfId="3599"/>
    <cellStyle name="PrePop Currency (0) 16" xfId="3600"/>
    <cellStyle name="PrePop Currency (0) 2" xfId="3601"/>
    <cellStyle name="PrePop Currency (0) 3" xfId="3602"/>
    <cellStyle name="PrePop Currency (0) 4" xfId="3603"/>
    <cellStyle name="PrePop Currency (0) 5" xfId="3604"/>
    <cellStyle name="PrePop Currency (0) 6" xfId="3605"/>
    <cellStyle name="PrePop Currency (0) 7" xfId="3606"/>
    <cellStyle name="PrePop Currency (0) 8" xfId="3607"/>
    <cellStyle name="PrePop Currency (0) 9" xfId="3608"/>
    <cellStyle name="PrePop Currency (2)" xfId="3609"/>
    <cellStyle name="PrePop Currency (2) 10" xfId="3610"/>
    <cellStyle name="PrePop Currency (2) 11" xfId="3611"/>
    <cellStyle name="PrePop Currency (2) 12" xfId="3612"/>
    <cellStyle name="PrePop Currency (2) 13" xfId="3613"/>
    <cellStyle name="PrePop Currency (2) 14" xfId="3614"/>
    <cellStyle name="PrePop Currency (2) 15" xfId="3615"/>
    <cellStyle name="PrePop Currency (2) 16" xfId="3616"/>
    <cellStyle name="PrePop Currency (2) 2" xfId="3617"/>
    <cellStyle name="PrePop Currency (2) 3" xfId="3618"/>
    <cellStyle name="PrePop Currency (2) 4" xfId="3619"/>
    <cellStyle name="PrePop Currency (2) 5" xfId="3620"/>
    <cellStyle name="PrePop Currency (2) 6" xfId="3621"/>
    <cellStyle name="PrePop Currency (2) 7" xfId="3622"/>
    <cellStyle name="PrePop Currency (2) 8" xfId="3623"/>
    <cellStyle name="PrePop Currency (2) 9" xfId="3624"/>
    <cellStyle name="PrePop Units (0)" xfId="3625"/>
    <cellStyle name="PrePop Units (0) 10" xfId="3626"/>
    <cellStyle name="PrePop Units (0) 11" xfId="3627"/>
    <cellStyle name="PrePop Units (0) 12" xfId="3628"/>
    <cellStyle name="PrePop Units (0) 13" xfId="3629"/>
    <cellStyle name="PrePop Units (0) 14" xfId="3630"/>
    <cellStyle name="PrePop Units (0) 15" xfId="3631"/>
    <cellStyle name="PrePop Units (0) 16" xfId="3632"/>
    <cellStyle name="PrePop Units (0) 2" xfId="3633"/>
    <cellStyle name="PrePop Units (0) 3" xfId="3634"/>
    <cellStyle name="PrePop Units (0) 4" xfId="3635"/>
    <cellStyle name="PrePop Units (0) 5" xfId="3636"/>
    <cellStyle name="PrePop Units (0) 6" xfId="3637"/>
    <cellStyle name="PrePop Units (0) 7" xfId="3638"/>
    <cellStyle name="PrePop Units (0) 8" xfId="3639"/>
    <cellStyle name="PrePop Units (0) 9" xfId="3640"/>
    <cellStyle name="PrePop Units (1)" xfId="3641"/>
    <cellStyle name="PrePop Units (1) 10" xfId="3642"/>
    <cellStyle name="PrePop Units (1) 11" xfId="3643"/>
    <cellStyle name="PrePop Units (1) 12" xfId="3644"/>
    <cellStyle name="PrePop Units (1) 13" xfId="3645"/>
    <cellStyle name="PrePop Units (1) 14" xfId="3646"/>
    <cellStyle name="PrePop Units (1) 15" xfId="3647"/>
    <cellStyle name="PrePop Units (1) 16" xfId="3648"/>
    <cellStyle name="PrePop Units (1) 2" xfId="3649"/>
    <cellStyle name="PrePop Units (1) 3" xfId="3650"/>
    <cellStyle name="PrePop Units (1) 4" xfId="3651"/>
    <cellStyle name="PrePop Units (1) 5" xfId="3652"/>
    <cellStyle name="PrePop Units (1) 6" xfId="3653"/>
    <cellStyle name="PrePop Units (1) 7" xfId="3654"/>
    <cellStyle name="PrePop Units (1) 8" xfId="3655"/>
    <cellStyle name="PrePop Units (1) 9" xfId="3656"/>
    <cellStyle name="PrePop Units (2)" xfId="3657"/>
    <cellStyle name="PrePop Units (2) 10" xfId="3658"/>
    <cellStyle name="PrePop Units (2) 11" xfId="3659"/>
    <cellStyle name="PrePop Units (2) 12" xfId="3660"/>
    <cellStyle name="PrePop Units (2) 13" xfId="3661"/>
    <cellStyle name="PrePop Units (2) 14" xfId="3662"/>
    <cellStyle name="PrePop Units (2) 15" xfId="3663"/>
    <cellStyle name="PrePop Units (2) 16" xfId="3664"/>
    <cellStyle name="PrePop Units (2) 2" xfId="3665"/>
    <cellStyle name="PrePop Units (2) 3" xfId="3666"/>
    <cellStyle name="PrePop Units (2) 4" xfId="3667"/>
    <cellStyle name="PrePop Units (2) 5" xfId="3668"/>
    <cellStyle name="PrePop Units (2) 6" xfId="3669"/>
    <cellStyle name="PrePop Units (2) 7" xfId="3670"/>
    <cellStyle name="PrePop Units (2) 8" xfId="3671"/>
    <cellStyle name="PrePop Units (2) 9" xfId="3672"/>
    <cellStyle name="pricing" xfId="3673"/>
    <cellStyle name="pricing 2" xfId="3674"/>
    <cellStyle name="PSChar" xfId="3675"/>
    <cellStyle name="PSHeading" xfId="3676"/>
    <cellStyle name="Quantity" xfId="3677"/>
    <cellStyle name="regstoresfromspecstores" xfId="3678"/>
    <cellStyle name="regstoresfromspecstores 2" xfId="3679"/>
    <cellStyle name="RevList" xfId="3680"/>
    <cellStyle name="rlink_tiªn l­în_x005f_x001b_Hyperlink_TONG HOP KINH PHI" xfId="3681"/>
    <cellStyle name="rmal_ADAdot" xfId="3682"/>
    <cellStyle name="S—_x0008_" xfId="3683"/>
    <cellStyle name="S—_x0008_ 2" xfId="3684"/>
    <cellStyle name="s]&#10;&#10;spooler=yes&#10;&#10;load=&#10;&#10;Beep=yes&#10;&#10;NullPort=None&#10;&#10;BorderWidth=3&#10;&#10;CursorBlinkRate=1200&#10;&#10;DoubleClickSpeed=452&#10;&#10;Programs=co" xfId="3685"/>
    <cellStyle name="s]_x000d_&#10;spooler=yes_x000d_&#10;load=_x000d_&#10;Beep=yes_x000d_&#10;NullPort=None_x000d_&#10;BorderWidth=3_x000d_&#10;CursorBlinkRate=1200_x000d_&#10;DoubleClickSpeed=452_x000d_&#10;Programs=co" xfId="3686"/>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687"/>
    <cellStyle name="S—_x0008__KH TPCP vung TNB (03-1-2012)" xfId="3688"/>
    <cellStyle name="S—_x005f_x0008_" xfId="3689"/>
    <cellStyle name="SAPBEXaggData" xfId="3690"/>
    <cellStyle name="SAPBEXaggData 2" xfId="3691"/>
    <cellStyle name="SAPBEXaggDataEmph" xfId="3692"/>
    <cellStyle name="SAPBEXaggDataEmph 2" xfId="3693"/>
    <cellStyle name="SAPBEXaggItem" xfId="3694"/>
    <cellStyle name="SAPBEXaggItem 2" xfId="3695"/>
    <cellStyle name="SAPBEXchaText" xfId="3696"/>
    <cellStyle name="SAPBEXchaText 2" xfId="3697"/>
    <cellStyle name="SAPBEXexcBad7" xfId="3698"/>
    <cellStyle name="SAPBEXexcBad7 2" xfId="3699"/>
    <cellStyle name="SAPBEXexcBad8" xfId="3700"/>
    <cellStyle name="SAPBEXexcBad8 2" xfId="3701"/>
    <cellStyle name="SAPBEXexcBad9" xfId="3702"/>
    <cellStyle name="SAPBEXexcBad9 2" xfId="3703"/>
    <cellStyle name="SAPBEXexcCritical4" xfId="3704"/>
    <cellStyle name="SAPBEXexcCritical4 2" xfId="3705"/>
    <cellStyle name="SAPBEXexcCritical5" xfId="3706"/>
    <cellStyle name="SAPBEXexcCritical5 2" xfId="3707"/>
    <cellStyle name="SAPBEXexcCritical6" xfId="3708"/>
    <cellStyle name="SAPBEXexcCritical6 2" xfId="3709"/>
    <cellStyle name="SAPBEXexcGood1" xfId="3710"/>
    <cellStyle name="SAPBEXexcGood1 2" xfId="3711"/>
    <cellStyle name="SAPBEXexcGood2" xfId="3712"/>
    <cellStyle name="SAPBEXexcGood2 2" xfId="3713"/>
    <cellStyle name="SAPBEXexcGood3" xfId="3714"/>
    <cellStyle name="SAPBEXexcGood3 2" xfId="3715"/>
    <cellStyle name="SAPBEXfilterDrill" xfId="3716"/>
    <cellStyle name="SAPBEXfilterDrill 2" xfId="3717"/>
    <cellStyle name="SAPBEXfilterItem" xfId="3718"/>
    <cellStyle name="SAPBEXfilterItem 2" xfId="3719"/>
    <cellStyle name="SAPBEXfilterText" xfId="3720"/>
    <cellStyle name="SAPBEXfilterText 2" xfId="3721"/>
    <cellStyle name="SAPBEXformats" xfId="3722"/>
    <cellStyle name="SAPBEXformats 2" xfId="3723"/>
    <cellStyle name="SAPBEXheaderItem" xfId="3724"/>
    <cellStyle name="SAPBEXheaderItem 2" xfId="3725"/>
    <cellStyle name="SAPBEXheaderText" xfId="3726"/>
    <cellStyle name="SAPBEXheaderText 2" xfId="3727"/>
    <cellStyle name="SAPBEXresData" xfId="3728"/>
    <cellStyle name="SAPBEXresData 2" xfId="3729"/>
    <cellStyle name="SAPBEXresDataEmph" xfId="3730"/>
    <cellStyle name="SAPBEXresDataEmph 2" xfId="3731"/>
    <cellStyle name="SAPBEXresItem" xfId="3732"/>
    <cellStyle name="SAPBEXresItem 2" xfId="3733"/>
    <cellStyle name="SAPBEXstdData" xfId="3734"/>
    <cellStyle name="SAPBEXstdData 2" xfId="3735"/>
    <cellStyle name="SAPBEXstdDataEmph" xfId="3736"/>
    <cellStyle name="SAPBEXstdDataEmph 2" xfId="3737"/>
    <cellStyle name="SAPBEXstdItem" xfId="3738"/>
    <cellStyle name="SAPBEXstdItem 2" xfId="3739"/>
    <cellStyle name="SAPBEXtitle" xfId="3740"/>
    <cellStyle name="SAPBEXtitle 2" xfId="3741"/>
    <cellStyle name="SAPBEXundefined" xfId="3742"/>
    <cellStyle name="SAPBEXundefined 2" xfId="3743"/>
    <cellStyle name="serJet 1200 Series PCL 6" xfId="3744"/>
    <cellStyle name="SHADEDSTORES" xfId="3745"/>
    <cellStyle name="SHADEDSTORES 2" xfId="3746"/>
    <cellStyle name="SHADEDSTORES 2 2" xfId="3747"/>
    <cellStyle name="SHADEDSTORES 2 2 2" xfId="5316"/>
    <cellStyle name="SHADEDSTORES 2 3" xfId="5315"/>
    <cellStyle name="SHADEDSTORES 3" xfId="3748"/>
    <cellStyle name="SHADEDSTORES 3 2" xfId="5317"/>
    <cellStyle name="SHADEDSTORES 4" xfId="5314"/>
    <cellStyle name="songuyen" xfId="3749"/>
    <cellStyle name="specstores" xfId="3750"/>
    <cellStyle name="Standard_AAbgleich" xfId="3751"/>
    <cellStyle name="STTDG" xfId="3752"/>
    <cellStyle name="style" xfId="3753"/>
    <cellStyle name="Style 1" xfId="3754"/>
    <cellStyle name="Style 1 2" xfId="3755"/>
    <cellStyle name="Style 1 2 2" xfId="3756"/>
    <cellStyle name="Style 1 3" xfId="3757"/>
    <cellStyle name="Style 1 3 2" xfId="3758"/>
    <cellStyle name="Style 1 4" xfId="3759"/>
    <cellStyle name="Style 1 5" xfId="3760"/>
    <cellStyle name="Style 10" xfId="3761"/>
    <cellStyle name="Style 10 2" xfId="3762"/>
    <cellStyle name="Style 100" xfId="3763"/>
    <cellStyle name="Style 101" xfId="3764"/>
    <cellStyle name="Style 102" xfId="3765"/>
    <cellStyle name="Style 103" xfId="3766"/>
    <cellStyle name="Style 104" xfId="3767"/>
    <cellStyle name="Style 105" xfId="3768"/>
    <cellStyle name="Style 106" xfId="3769"/>
    <cellStyle name="Style 107" xfId="3770"/>
    <cellStyle name="Style 108" xfId="3771"/>
    <cellStyle name="Style 109" xfId="3772"/>
    <cellStyle name="Style 11" xfId="3773"/>
    <cellStyle name="Style 11 2" xfId="3774"/>
    <cellStyle name="Style 110" xfId="3775"/>
    <cellStyle name="Style 111" xfId="3776"/>
    <cellStyle name="Style 112" xfId="3777"/>
    <cellStyle name="Style 113" xfId="3778"/>
    <cellStyle name="Style 114" xfId="3779"/>
    <cellStyle name="Style 115" xfId="3780"/>
    <cellStyle name="Style 116" xfId="3781"/>
    <cellStyle name="Style 117" xfId="3782"/>
    <cellStyle name="Style 118" xfId="3783"/>
    <cellStyle name="Style 119" xfId="3784"/>
    <cellStyle name="Style 12" xfId="3785"/>
    <cellStyle name="Style 12 2" xfId="3786"/>
    <cellStyle name="Style 120" xfId="3787"/>
    <cellStyle name="Style 121" xfId="3788"/>
    <cellStyle name="Style 122" xfId="3789"/>
    <cellStyle name="Style 123" xfId="3790"/>
    <cellStyle name="Style 124" xfId="3791"/>
    <cellStyle name="Style 125" xfId="3792"/>
    <cellStyle name="Style 126" xfId="3793"/>
    <cellStyle name="Style 127" xfId="3794"/>
    <cellStyle name="Style 128" xfId="3795"/>
    <cellStyle name="Style 129" xfId="3796"/>
    <cellStyle name="Style 13" xfId="3797"/>
    <cellStyle name="Style 13 2" xfId="3798"/>
    <cellStyle name="Style 130" xfId="3799"/>
    <cellStyle name="Style 131" xfId="3800"/>
    <cellStyle name="Style 132" xfId="3801"/>
    <cellStyle name="Style 133" xfId="3802"/>
    <cellStyle name="Style 134" xfId="3803"/>
    <cellStyle name="Style 135" xfId="3804"/>
    <cellStyle name="Style 136" xfId="3805"/>
    <cellStyle name="Style 137" xfId="3806"/>
    <cellStyle name="Style 138" xfId="3807"/>
    <cellStyle name="Style 139" xfId="3808"/>
    <cellStyle name="Style 14" xfId="3809"/>
    <cellStyle name="Style 14 2" xfId="3810"/>
    <cellStyle name="Style 140" xfId="3811"/>
    <cellStyle name="Style 141" xfId="3812"/>
    <cellStyle name="Style 142" xfId="3813"/>
    <cellStyle name="Style 143" xfId="3814"/>
    <cellStyle name="Style 144" xfId="3815"/>
    <cellStyle name="Style 145" xfId="3816"/>
    <cellStyle name="Style 146" xfId="3817"/>
    <cellStyle name="Style 147" xfId="3818"/>
    <cellStyle name="Style 148" xfId="3819"/>
    <cellStyle name="Style 149" xfId="3820"/>
    <cellStyle name="Style 15" xfId="3821"/>
    <cellStyle name="Style 15 2" xfId="3822"/>
    <cellStyle name="Style 150" xfId="3823"/>
    <cellStyle name="Style 151" xfId="3824"/>
    <cellStyle name="Style 152" xfId="3825"/>
    <cellStyle name="Style 153" xfId="3826"/>
    <cellStyle name="Style 154" xfId="3827"/>
    <cellStyle name="Style 155" xfId="3828"/>
    <cellStyle name="Style 16" xfId="3829"/>
    <cellStyle name="Style 16 2" xfId="3830"/>
    <cellStyle name="Style 17" xfId="3831"/>
    <cellStyle name="Style 17 2" xfId="3832"/>
    <cellStyle name="Style 18" xfId="3833"/>
    <cellStyle name="Style 18 2" xfId="3834"/>
    <cellStyle name="Style 19" xfId="3835"/>
    <cellStyle name="Style 19 2" xfId="3836"/>
    <cellStyle name="Style 2" xfId="3837"/>
    <cellStyle name="Style 2 2" xfId="3838"/>
    <cellStyle name="Style 20" xfId="3839"/>
    <cellStyle name="Style 20 2" xfId="3840"/>
    <cellStyle name="Style 21" xfId="3841"/>
    <cellStyle name="Style 21 2" xfId="3842"/>
    <cellStyle name="Style 22" xfId="3843"/>
    <cellStyle name="Style 22 2" xfId="3844"/>
    <cellStyle name="Style 23" xfId="3845"/>
    <cellStyle name="Style 23 2" xfId="3846"/>
    <cellStyle name="Style 24" xfId="3847"/>
    <cellStyle name="Style 24 2" xfId="3848"/>
    <cellStyle name="Style 25" xfId="3849"/>
    <cellStyle name="Style 25 2" xfId="3850"/>
    <cellStyle name="Style 26" xfId="3851"/>
    <cellStyle name="Style 26 2" xfId="3852"/>
    <cellStyle name="Style 27" xfId="3853"/>
    <cellStyle name="Style 27 2" xfId="3854"/>
    <cellStyle name="Style 28" xfId="3855"/>
    <cellStyle name="Style 28 2" xfId="3856"/>
    <cellStyle name="Style 29" xfId="3857"/>
    <cellStyle name="Style 29 2" xfId="3858"/>
    <cellStyle name="Style 3" xfId="3859"/>
    <cellStyle name="Style 3 2" xfId="3860"/>
    <cellStyle name="Style 30" xfId="3861"/>
    <cellStyle name="Style 30 2" xfId="3862"/>
    <cellStyle name="Style 31" xfId="3863"/>
    <cellStyle name="Style 31 2" xfId="3864"/>
    <cellStyle name="Style 32" xfId="3865"/>
    <cellStyle name="Style 32 2" xfId="3866"/>
    <cellStyle name="Style 33" xfId="3867"/>
    <cellStyle name="Style 33 2" xfId="3868"/>
    <cellStyle name="Style 34" xfId="3869"/>
    <cellStyle name="Style 34 2" xfId="3870"/>
    <cellStyle name="Style 35" xfId="3871"/>
    <cellStyle name="Style 35 2" xfId="3872"/>
    <cellStyle name="Style 36" xfId="3873"/>
    <cellStyle name="Style 37" xfId="3874"/>
    <cellStyle name="Style 37 2" xfId="3875"/>
    <cellStyle name="Style 38" xfId="3876"/>
    <cellStyle name="Style 38 2" xfId="3877"/>
    <cellStyle name="Style 39" xfId="3878"/>
    <cellStyle name="Style 39 2" xfId="3879"/>
    <cellStyle name="Style 4" xfId="3880"/>
    <cellStyle name="Style 4 2" xfId="3881"/>
    <cellStyle name="Style 40" xfId="3882"/>
    <cellStyle name="Style 40 2" xfId="3883"/>
    <cellStyle name="Style 41" xfId="3884"/>
    <cellStyle name="Style 41 2" xfId="3885"/>
    <cellStyle name="Style 42" xfId="3886"/>
    <cellStyle name="Style 42 2" xfId="3887"/>
    <cellStyle name="Style 43" xfId="3888"/>
    <cellStyle name="Style 43 2" xfId="3889"/>
    <cellStyle name="Style 44" xfId="3890"/>
    <cellStyle name="Style 44 2" xfId="3891"/>
    <cellStyle name="Style 45" xfId="3892"/>
    <cellStyle name="Style 45 2" xfId="3893"/>
    <cellStyle name="Style 46" xfId="3894"/>
    <cellStyle name="Style 46 2" xfId="3895"/>
    <cellStyle name="Style 47" xfId="3896"/>
    <cellStyle name="Style 47 2" xfId="3897"/>
    <cellStyle name="Style 48" xfId="3898"/>
    <cellStyle name="Style 48 2" xfId="3899"/>
    <cellStyle name="Style 49" xfId="3900"/>
    <cellStyle name="Style 49 2" xfId="3901"/>
    <cellStyle name="Style 5" xfId="3902"/>
    <cellStyle name="Style 50" xfId="3903"/>
    <cellStyle name="Style 50 2" xfId="3904"/>
    <cellStyle name="Style 51" xfId="3905"/>
    <cellStyle name="Style 51 2" xfId="3906"/>
    <cellStyle name="Style 52" xfId="3907"/>
    <cellStyle name="Style 52 2" xfId="3908"/>
    <cellStyle name="Style 53" xfId="3909"/>
    <cellStyle name="Style 53 2" xfId="3910"/>
    <cellStyle name="Style 54" xfId="3911"/>
    <cellStyle name="Style 54 2" xfId="3912"/>
    <cellStyle name="Style 55" xfId="3913"/>
    <cellStyle name="Style 55 2" xfId="3914"/>
    <cellStyle name="Style 56" xfId="3915"/>
    <cellStyle name="Style 57" xfId="3916"/>
    <cellStyle name="Style 58" xfId="3917"/>
    <cellStyle name="Style 59" xfId="3918"/>
    <cellStyle name="Style 6" xfId="3919"/>
    <cellStyle name="Style 6 2" xfId="3920"/>
    <cellStyle name="Style 60" xfId="3921"/>
    <cellStyle name="Style 61" xfId="3922"/>
    <cellStyle name="Style 62" xfId="3923"/>
    <cellStyle name="Style 63" xfId="3924"/>
    <cellStyle name="Style 64" xfId="3925"/>
    <cellStyle name="Style 65" xfId="3926"/>
    <cellStyle name="Style 66" xfId="3927"/>
    <cellStyle name="Style 67" xfId="3928"/>
    <cellStyle name="Style 68" xfId="3929"/>
    <cellStyle name="Style 69" xfId="3930"/>
    <cellStyle name="Style 7" xfId="3931"/>
    <cellStyle name="Style 7 2" xfId="3932"/>
    <cellStyle name="Style 70" xfId="3933"/>
    <cellStyle name="Style 71" xfId="3934"/>
    <cellStyle name="Style 72" xfId="3935"/>
    <cellStyle name="Style 73" xfId="3936"/>
    <cellStyle name="Style 74" xfId="3937"/>
    <cellStyle name="Style 75" xfId="3938"/>
    <cellStyle name="Style 76" xfId="3939"/>
    <cellStyle name="Style 77" xfId="3940"/>
    <cellStyle name="Style 78" xfId="3941"/>
    <cellStyle name="Style 79" xfId="3942"/>
    <cellStyle name="Style 8" xfId="3943"/>
    <cellStyle name="Style 8 2" xfId="3944"/>
    <cellStyle name="Style 80" xfId="3945"/>
    <cellStyle name="Style 81" xfId="3946"/>
    <cellStyle name="Style 82" xfId="3947"/>
    <cellStyle name="Style 83" xfId="3948"/>
    <cellStyle name="Style 84" xfId="3949"/>
    <cellStyle name="Style 85" xfId="3950"/>
    <cellStyle name="Style 86" xfId="3951"/>
    <cellStyle name="Style 87" xfId="3952"/>
    <cellStyle name="Style 88" xfId="3953"/>
    <cellStyle name="Style 89" xfId="3954"/>
    <cellStyle name="Style 9" xfId="3955"/>
    <cellStyle name="Style 9 2" xfId="3956"/>
    <cellStyle name="Style 90" xfId="3957"/>
    <cellStyle name="Style 91" xfId="3958"/>
    <cellStyle name="Style 92" xfId="3959"/>
    <cellStyle name="Style 93" xfId="3960"/>
    <cellStyle name="Style 94" xfId="3961"/>
    <cellStyle name="Style 95" xfId="3962"/>
    <cellStyle name="Style 96" xfId="3963"/>
    <cellStyle name="Style 97" xfId="3964"/>
    <cellStyle name="Style 98" xfId="3965"/>
    <cellStyle name="Style 99" xfId="3966"/>
    <cellStyle name="Style Date" xfId="3967"/>
    <cellStyle name="style_1" xfId="3968"/>
    <cellStyle name="subhead" xfId="3969"/>
    <cellStyle name="subhead 2" xfId="3970"/>
    <cellStyle name="Subtotal" xfId="3971"/>
    <cellStyle name="symbol" xfId="3972"/>
    <cellStyle name="T" xfId="3973"/>
    <cellStyle name="T 2" xfId="3974"/>
    <cellStyle name="T_15_10_2013 BC nhu cau von doi ung ODA (2014-2016) ngay 15102013 Sua" xfId="3975"/>
    <cellStyle name="T_bao cao" xfId="3976"/>
    <cellStyle name="T_bao cao 2" xfId="3977"/>
    <cellStyle name="T_bao cao phan bo KHDT 2011(final)" xfId="3978"/>
    <cellStyle name="T_Bao cao so lieu kiem toan nam 2007 sua" xfId="3979"/>
    <cellStyle name="T_Bao cao so lieu kiem toan nam 2007 sua 2" xfId="3980"/>
    <cellStyle name="T_Bao cao so lieu kiem toan nam 2007 sua_!1 1 bao cao giao KH ve HTCMT vung TNB   12-12-2011" xfId="3981"/>
    <cellStyle name="T_Bao cao so lieu kiem toan nam 2007 sua_!1 1 bao cao giao KH ve HTCMT vung TNB   12-12-2011 2" xfId="3982"/>
    <cellStyle name="T_Bao cao so lieu kiem toan nam 2007 sua_KH TPCP vung TNB (03-1-2012)" xfId="3983"/>
    <cellStyle name="T_Bao cao so lieu kiem toan nam 2007 sua_KH TPCP vung TNB (03-1-2012) 2" xfId="3984"/>
    <cellStyle name="T_bao cao_!1 1 bao cao giao KH ve HTCMT vung TNB   12-12-2011" xfId="3985"/>
    <cellStyle name="T_bao cao_!1 1 bao cao giao KH ve HTCMT vung TNB   12-12-2011 2" xfId="3986"/>
    <cellStyle name="T_bao cao_Bieu4HTMT" xfId="3987"/>
    <cellStyle name="T_bao cao_Bieu4HTMT 2" xfId="3988"/>
    <cellStyle name="T_bao cao_Bieu4HTMT_!1 1 bao cao giao KH ve HTCMT vung TNB   12-12-2011" xfId="3989"/>
    <cellStyle name="T_bao cao_Bieu4HTMT_!1 1 bao cao giao KH ve HTCMT vung TNB   12-12-2011 2" xfId="3990"/>
    <cellStyle name="T_bao cao_Bieu4HTMT_KH TPCP vung TNB (03-1-2012)" xfId="3991"/>
    <cellStyle name="T_bao cao_Bieu4HTMT_KH TPCP vung TNB (03-1-2012) 2" xfId="3992"/>
    <cellStyle name="T_bao cao_KH TPCP vung TNB (03-1-2012)" xfId="3993"/>
    <cellStyle name="T_bao cao_KH TPCP vung TNB (03-1-2012) 2" xfId="3994"/>
    <cellStyle name="T_BBTNG-06" xfId="3995"/>
    <cellStyle name="T_BBTNG-06 2" xfId="3996"/>
    <cellStyle name="T_BBTNG-06_!1 1 bao cao giao KH ve HTCMT vung TNB   12-12-2011" xfId="3997"/>
    <cellStyle name="T_BBTNG-06_!1 1 bao cao giao KH ve HTCMT vung TNB   12-12-2011 2" xfId="3998"/>
    <cellStyle name="T_BBTNG-06_Bieu4HTMT" xfId="3999"/>
    <cellStyle name="T_BBTNG-06_Bieu4HTMT 2" xfId="4000"/>
    <cellStyle name="T_BBTNG-06_Bieu4HTMT_!1 1 bao cao giao KH ve HTCMT vung TNB   12-12-2011" xfId="4001"/>
    <cellStyle name="T_BBTNG-06_Bieu4HTMT_!1 1 bao cao giao KH ve HTCMT vung TNB   12-12-2011 2" xfId="4002"/>
    <cellStyle name="T_BBTNG-06_Bieu4HTMT_KH TPCP vung TNB (03-1-2012)" xfId="4003"/>
    <cellStyle name="T_BBTNG-06_Bieu4HTMT_KH TPCP vung TNB (03-1-2012) 2" xfId="4004"/>
    <cellStyle name="T_BBTNG-06_KH TPCP vung TNB (03-1-2012)" xfId="4005"/>
    <cellStyle name="T_BBTNG-06_KH TPCP vung TNB (03-1-2012) 2" xfId="4006"/>
    <cellStyle name="T_BC  NAM 2007" xfId="4007"/>
    <cellStyle name="T_BC  NAM 2007 2" xfId="4008"/>
    <cellStyle name="T_BC CTMT-2008 Ttinh" xfId="4009"/>
    <cellStyle name="T_BC CTMT-2008 Ttinh 2" xfId="4010"/>
    <cellStyle name="T_BC CTMT-2008 Ttinh_!1 1 bao cao giao KH ve HTCMT vung TNB   12-12-2011" xfId="4011"/>
    <cellStyle name="T_BC CTMT-2008 Ttinh_!1 1 bao cao giao KH ve HTCMT vung TNB   12-12-2011 2" xfId="4012"/>
    <cellStyle name="T_BC CTMT-2008 Ttinh_KH TPCP vung TNB (03-1-2012)" xfId="4013"/>
    <cellStyle name="T_BC CTMT-2008 Ttinh_KH TPCP vung TNB (03-1-2012) 2" xfId="4014"/>
    <cellStyle name="T_BC nhu cau von doi ung ODA nganh NN (BKH)" xfId="4015"/>
    <cellStyle name="T_BC nhu cau von doi ung ODA nganh NN (BKH)_05-12  KH trung han 2016-2020 - Liem Thinh edited" xfId="4016"/>
    <cellStyle name="T_BC nhu cau von doi ung ODA nganh NN (BKH)_Copy of 05-12  KH trung han 2016-2020 - Liem Thinh edited (1)" xfId="4017"/>
    <cellStyle name="T_BC Tai co cau (bieu TH)" xfId="4018"/>
    <cellStyle name="T_BC Tai co cau (bieu TH)_05-12  KH trung han 2016-2020 - Liem Thinh edited" xfId="4019"/>
    <cellStyle name="T_BC Tai co cau (bieu TH)_Copy of 05-12  KH trung han 2016-2020 - Liem Thinh edited (1)" xfId="4020"/>
    <cellStyle name="T_Bieu 4.2 A, B KHCTgiong 2011" xfId="4021"/>
    <cellStyle name="T_Bieu 4.2 A, B KHCTgiong 2011 10" xfId="4022"/>
    <cellStyle name="T_Bieu 4.2 A, B KHCTgiong 2011 11" xfId="4023"/>
    <cellStyle name="T_Bieu 4.2 A, B KHCTgiong 2011 12" xfId="4024"/>
    <cellStyle name="T_Bieu 4.2 A, B KHCTgiong 2011 13" xfId="4025"/>
    <cellStyle name="T_Bieu 4.2 A, B KHCTgiong 2011 14" xfId="4026"/>
    <cellStyle name="T_Bieu 4.2 A, B KHCTgiong 2011 15" xfId="4027"/>
    <cellStyle name="T_Bieu 4.2 A, B KHCTgiong 2011 2" xfId="4028"/>
    <cellStyle name="T_Bieu 4.2 A, B KHCTgiong 2011 3" xfId="4029"/>
    <cellStyle name="T_Bieu 4.2 A, B KHCTgiong 2011 4" xfId="4030"/>
    <cellStyle name="T_Bieu 4.2 A, B KHCTgiong 2011 5" xfId="4031"/>
    <cellStyle name="T_Bieu 4.2 A, B KHCTgiong 2011 6" xfId="4032"/>
    <cellStyle name="T_Bieu 4.2 A, B KHCTgiong 2011 7" xfId="4033"/>
    <cellStyle name="T_Bieu 4.2 A, B KHCTgiong 2011 8" xfId="4034"/>
    <cellStyle name="T_Bieu 4.2 A, B KHCTgiong 2011 9" xfId="4035"/>
    <cellStyle name="T_Bieu mau cong trinh khoi cong moi 3-4" xfId="4036"/>
    <cellStyle name="T_Bieu mau cong trinh khoi cong moi 3-4 2" xfId="4037"/>
    <cellStyle name="T_Bieu mau cong trinh khoi cong moi 3-4_!1 1 bao cao giao KH ve HTCMT vung TNB   12-12-2011" xfId="4038"/>
    <cellStyle name="T_Bieu mau cong trinh khoi cong moi 3-4_!1 1 bao cao giao KH ve HTCMT vung TNB   12-12-2011 2" xfId="4039"/>
    <cellStyle name="T_Bieu mau cong trinh khoi cong moi 3-4_KH TPCP vung TNB (03-1-2012)" xfId="4040"/>
    <cellStyle name="T_Bieu mau cong trinh khoi cong moi 3-4_KH TPCP vung TNB (03-1-2012) 2" xfId="4041"/>
    <cellStyle name="T_Bieu mau danh muc du an thuoc CTMTQG nam 2008" xfId="4042"/>
    <cellStyle name="T_Bieu mau danh muc du an thuoc CTMTQG nam 2008 2" xfId="4043"/>
    <cellStyle name="T_Bieu mau danh muc du an thuoc CTMTQG nam 2008_!1 1 bao cao giao KH ve HTCMT vung TNB   12-12-2011" xfId="4044"/>
    <cellStyle name="T_Bieu mau danh muc du an thuoc CTMTQG nam 2008_!1 1 bao cao giao KH ve HTCMT vung TNB   12-12-2011 2" xfId="4045"/>
    <cellStyle name="T_Bieu mau danh muc du an thuoc CTMTQG nam 2008_KH TPCP vung TNB (03-1-2012)" xfId="4046"/>
    <cellStyle name="T_Bieu mau danh muc du an thuoc CTMTQG nam 2008_KH TPCP vung TNB (03-1-2012) 2" xfId="4047"/>
    <cellStyle name="T_Bieu tong hop nhu cau ung 2011 da chon loc -Mien nui" xfId="4048"/>
    <cellStyle name="T_Bieu tong hop nhu cau ung 2011 da chon loc -Mien nui 2" xfId="4049"/>
    <cellStyle name="T_Bieu tong hop nhu cau ung 2011 da chon loc -Mien nui_!1 1 bao cao giao KH ve HTCMT vung TNB   12-12-2011" xfId="4050"/>
    <cellStyle name="T_Bieu tong hop nhu cau ung 2011 da chon loc -Mien nui_!1 1 bao cao giao KH ve HTCMT vung TNB   12-12-2011 2" xfId="4051"/>
    <cellStyle name="T_Bieu tong hop nhu cau ung 2011 da chon loc -Mien nui_KH TPCP vung TNB (03-1-2012)" xfId="4052"/>
    <cellStyle name="T_Bieu tong hop nhu cau ung 2011 da chon loc -Mien nui_KH TPCP vung TNB (03-1-2012) 2" xfId="4053"/>
    <cellStyle name="T_Bieu3ODA" xfId="4054"/>
    <cellStyle name="T_Bieu3ODA 2" xfId="4055"/>
    <cellStyle name="T_Bieu3ODA_!1 1 bao cao giao KH ve HTCMT vung TNB   12-12-2011" xfId="4056"/>
    <cellStyle name="T_Bieu3ODA_!1 1 bao cao giao KH ve HTCMT vung TNB   12-12-2011 2" xfId="4057"/>
    <cellStyle name="T_Bieu3ODA_1" xfId="4058"/>
    <cellStyle name="T_Bieu3ODA_1 2" xfId="4059"/>
    <cellStyle name="T_Bieu3ODA_1_!1 1 bao cao giao KH ve HTCMT vung TNB   12-12-2011" xfId="4060"/>
    <cellStyle name="T_Bieu3ODA_1_!1 1 bao cao giao KH ve HTCMT vung TNB   12-12-2011 2" xfId="4061"/>
    <cellStyle name="T_Bieu3ODA_1_KH TPCP vung TNB (03-1-2012)" xfId="4062"/>
    <cellStyle name="T_Bieu3ODA_1_KH TPCP vung TNB (03-1-2012) 2" xfId="4063"/>
    <cellStyle name="T_Bieu3ODA_KH TPCP vung TNB (03-1-2012)" xfId="4064"/>
    <cellStyle name="T_Bieu3ODA_KH TPCP vung TNB (03-1-2012) 2" xfId="4065"/>
    <cellStyle name="T_Bieu4HTMT" xfId="4066"/>
    <cellStyle name="T_Bieu4HTMT 2" xfId="4067"/>
    <cellStyle name="T_Bieu4HTMT_!1 1 bao cao giao KH ve HTCMT vung TNB   12-12-2011" xfId="4068"/>
    <cellStyle name="T_Bieu4HTMT_!1 1 bao cao giao KH ve HTCMT vung TNB   12-12-2011 2" xfId="4069"/>
    <cellStyle name="T_Bieu4HTMT_KH TPCP vung TNB (03-1-2012)" xfId="4070"/>
    <cellStyle name="T_Bieu4HTMT_KH TPCP vung TNB (03-1-2012) 2" xfId="4071"/>
    <cellStyle name="T_bo sung von KCH nam 2010 va Du an tre kho khan" xfId="4072"/>
    <cellStyle name="T_bo sung von KCH nam 2010 va Du an tre kho khan 2" xfId="4073"/>
    <cellStyle name="T_bo sung von KCH nam 2010 va Du an tre kho khan_!1 1 bao cao giao KH ve HTCMT vung TNB   12-12-2011" xfId="4074"/>
    <cellStyle name="T_bo sung von KCH nam 2010 va Du an tre kho khan_!1 1 bao cao giao KH ve HTCMT vung TNB   12-12-2011 2" xfId="4075"/>
    <cellStyle name="T_bo sung von KCH nam 2010 va Du an tre kho khan_KH TPCP vung TNB (03-1-2012)" xfId="4076"/>
    <cellStyle name="T_bo sung von KCH nam 2010 va Du an tre kho khan_KH TPCP vung TNB (03-1-2012) 2" xfId="4077"/>
    <cellStyle name="T_Book1" xfId="4078"/>
    <cellStyle name="T_Book1 2" xfId="4079"/>
    <cellStyle name="T_Book1 3" xfId="4080"/>
    <cellStyle name="T_Book1_!1 1 bao cao giao KH ve HTCMT vung TNB   12-12-2011" xfId="4081"/>
    <cellStyle name="T_Book1_!1 1 bao cao giao KH ve HTCMT vung TNB   12-12-2011 2" xfId="4082"/>
    <cellStyle name="T_Book1_1" xfId="4083"/>
    <cellStyle name="T_Book1_1 2" xfId="4084"/>
    <cellStyle name="T_Book1_1_Bieu tong hop nhu cau ung 2011 da chon loc -Mien nui" xfId="4085"/>
    <cellStyle name="T_Book1_1_Bieu tong hop nhu cau ung 2011 da chon loc -Mien nui 2" xfId="4086"/>
    <cellStyle name="T_Book1_1_Bieu tong hop nhu cau ung 2011 da chon loc -Mien nui_!1 1 bao cao giao KH ve HTCMT vung TNB   12-12-2011" xfId="4087"/>
    <cellStyle name="T_Book1_1_Bieu tong hop nhu cau ung 2011 da chon loc -Mien nui_!1 1 bao cao giao KH ve HTCMT vung TNB   12-12-2011 2" xfId="4088"/>
    <cellStyle name="T_Book1_1_Bieu tong hop nhu cau ung 2011 da chon loc -Mien nui_KH TPCP vung TNB (03-1-2012)" xfId="4089"/>
    <cellStyle name="T_Book1_1_Bieu tong hop nhu cau ung 2011 da chon loc -Mien nui_KH TPCP vung TNB (03-1-2012) 2" xfId="4090"/>
    <cellStyle name="T_Book1_1_Bieu3ODA" xfId="4091"/>
    <cellStyle name="T_Book1_1_Bieu3ODA 2" xfId="4092"/>
    <cellStyle name="T_Book1_1_Bieu3ODA_!1 1 bao cao giao KH ve HTCMT vung TNB   12-12-2011" xfId="4093"/>
    <cellStyle name="T_Book1_1_Bieu3ODA_!1 1 bao cao giao KH ve HTCMT vung TNB   12-12-2011 2" xfId="4094"/>
    <cellStyle name="T_Book1_1_Bieu3ODA_KH TPCP vung TNB (03-1-2012)" xfId="4095"/>
    <cellStyle name="T_Book1_1_Bieu3ODA_KH TPCP vung TNB (03-1-2012) 2" xfId="4096"/>
    <cellStyle name="T_Book1_1_CPK" xfId="4097"/>
    <cellStyle name="T_Book1_1_CPK 2" xfId="4098"/>
    <cellStyle name="T_Book1_1_CPK_!1 1 bao cao giao KH ve HTCMT vung TNB   12-12-2011" xfId="4099"/>
    <cellStyle name="T_Book1_1_CPK_!1 1 bao cao giao KH ve HTCMT vung TNB   12-12-2011 2" xfId="4100"/>
    <cellStyle name="T_Book1_1_CPK_Bieu4HTMT" xfId="4101"/>
    <cellStyle name="T_Book1_1_CPK_Bieu4HTMT 2" xfId="4102"/>
    <cellStyle name="T_Book1_1_CPK_Bieu4HTMT_!1 1 bao cao giao KH ve HTCMT vung TNB   12-12-2011" xfId="4103"/>
    <cellStyle name="T_Book1_1_CPK_Bieu4HTMT_!1 1 bao cao giao KH ve HTCMT vung TNB   12-12-2011 2" xfId="4104"/>
    <cellStyle name="T_Book1_1_CPK_Bieu4HTMT_KH TPCP vung TNB (03-1-2012)" xfId="4105"/>
    <cellStyle name="T_Book1_1_CPK_Bieu4HTMT_KH TPCP vung TNB (03-1-2012) 2" xfId="4106"/>
    <cellStyle name="T_Book1_1_CPK_KH TPCP vung TNB (03-1-2012)" xfId="4107"/>
    <cellStyle name="T_Book1_1_CPK_KH TPCP vung TNB (03-1-2012) 2" xfId="4108"/>
    <cellStyle name="T_Book1_1_KH TPCP vung TNB (03-1-2012)" xfId="4109"/>
    <cellStyle name="T_Book1_1_KH TPCP vung TNB (03-1-2012) 2" xfId="4110"/>
    <cellStyle name="T_Book1_1_kien giang 2" xfId="4111"/>
    <cellStyle name="T_Book1_1_kien giang 2 2" xfId="4112"/>
    <cellStyle name="T_Book1_1_Luy ke von ung nam 2011 -Thoa gui ngay 12-8-2012" xfId="4113"/>
    <cellStyle name="T_Book1_1_Luy ke von ung nam 2011 -Thoa gui ngay 12-8-2012 2" xfId="4114"/>
    <cellStyle name="T_Book1_1_Luy ke von ung nam 2011 -Thoa gui ngay 12-8-2012_!1 1 bao cao giao KH ve HTCMT vung TNB   12-12-2011" xfId="4115"/>
    <cellStyle name="T_Book1_1_Luy ke von ung nam 2011 -Thoa gui ngay 12-8-2012_!1 1 bao cao giao KH ve HTCMT vung TNB   12-12-2011 2" xfId="4116"/>
    <cellStyle name="T_Book1_1_Luy ke von ung nam 2011 -Thoa gui ngay 12-8-2012_KH TPCP vung TNB (03-1-2012)" xfId="4117"/>
    <cellStyle name="T_Book1_1_Luy ke von ung nam 2011 -Thoa gui ngay 12-8-2012_KH TPCP vung TNB (03-1-2012) 2" xfId="4118"/>
    <cellStyle name="T_Book1_1_Thiet bi" xfId="4119"/>
    <cellStyle name="T_Book1_1_Thiet bi 2" xfId="4120"/>
    <cellStyle name="T_Book1_1_Thiet bi_!1 1 bao cao giao KH ve HTCMT vung TNB   12-12-2011" xfId="4121"/>
    <cellStyle name="T_Book1_1_Thiet bi_!1 1 bao cao giao KH ve HTCMT vung TNB   12-12-2011 2" xfId="4122"/>
    <cellStyle name="T_Book1_1_Thiet bi_Bieu4HTMT" xfId="4123"/>
    <cellStyle name="T_Book1_1_Thiet bi_Bieu4HTMT 2" xfId="4124"/>
    <cellStyle name="T_Book1_1_Thiet bi_Bieu4HTMT_!1 1 bao cao giao KH ve HTCMT vung TNB   12-12-2011" xfId="4125"/>
    <cellStyle name="T_Book1_1_Thiet bi_Bieu4HTMT_!1 1 bao cao giao KH ve HTCMT vung TNB   12-12-2011 2" xfId="4126"/>
    <cellStyle name="T_Book1_1_Thiet bi_Bieu4HTMT_KH TPCP vung TNB (03-1-2012)" xfId="4127"/>
    <cellStyle name="T_Book1_1_Thiet bi_Bieu4HTMT_KH TPCP vung TNB (03-1-2012) 2" xfId="4128"/>
    <cellStyle name="T_Book1_1_Thiet bi_KH TPCP vung TNB (03-1-2012)" xfId="4129"/>
    <cellStyle name="T_Book1_1_Thiet bi_KH TPCP vung TNB (03-1-2012) 2" xfId="4130"/>
    <cellStyle name="T_Book1_15_10_2013 BC nhu cau von doi ung ODA (2014-2016) ngay 15102013 Sua" xfId="4131"/>
    <cellStyle name="T_Book1_bao cao phan bo KHDT 2011(final)" xfId="4132"/>
    <cellStyle name="T_Book1_bao cao phan bo KHDT 2011(final)_BC nhu cau von doi ung ODA nganh NN (BKH)" xfId="4133"/>
    <cellStyle name="T_Book1_bao cao phan bo KHDT 2011(final)_BC Tai co cau (bieu TH)" xfId="4134"/>
    <cellStyle name="T_Book1_bao cao phan bo KHDT 2011(final)_DK 2014-2015 final" xfId="4135"/>
    <cellStyle name="T_Book1_bao cao phan bo KHDT 2011(final)_DK 2014-2015 new" xfId="4136"/>
    <cellStyle name="T_Book1_bao cao phan bo KHDT 2011(final)_DK KH CBDT 2014 11-11-2013" xfId="4137"/>
    <cellStyle name="T_Book1_bao cao phan bo KHDT 2011(final)_DK KH CBDT 2014 11-11-2013(1)" xfId="4138"/>
    <cellStyle name="T_Book1_bao cao phan bo KHDT 2011(final)_KH 2011-2015" xfId="4139"/>
    <cellStyle name="T_Book1_bao cao phan bo KHDT 2011(final)_tai co cau dau tu (tong hop)1" xfId="4140"/>
    <cellStyle name="T_Book1_BC nhu cau von doi ung ODA nganh NN (BKH)" xfId="4141"/>
    <cellStyle name="T_Book1_BC nhu cau von doi ung ODA nganh NN (BKH)_05-12  KH trung han 2016-2020 - Liem Thinh edited" xfId="4142"/>
    <cellStyle name="T_Book1_BC nhu cau von doi ung ODA nganh NN (BKH)_Copy of 05-12  KH trung han 2016-2020 - Liem Thinh edited (1)" xfId="4143"/>
    <cellStyle name="T_Book1_BC NQ11-CP - chinh sua lai" xfId="4144"/>
    <cellStyle name="T_Book1_BC NQ11-CP - chinh sua lai 2" xfId="4145"/>
    <cellStyle name="T_Book1_BC NQ11-CP-Quynh sau bieu so3" xfId="4146"/>
    <cellStyle name="T_Book1_BC NQ11-CP-Quynh sau bieu so3 2" xfId="4147"/>
    <cellStyle name="T_Book1_BC Tai co cau (bieu TH)" xfId="4148"/>
    <cellStyle name="T_Book1_BC Tai co cau (bieu TH)_05-12  KH trung han 2016-2020 - Liem Thinh edited" xfId="4149"/>
    <cellStyle name="T_Book1_BC Tai co cau (bieu TH)_Copy of 05-12  KH trung han 2016-2020 - Liem Thinh edited (1)" xfId="4150"/>
    <cellStyle name="T_Book1_BC_NQ11-CP_-_Thao_sua_lai" xfId="4151"/>
    <cellStyle name="T_Book1_BC_NQ11-CP_-_Thao_sua_lai 2" xfId="4152"/>
    <cellStyle name="T_Book1_Bieu mau cong trinh khoi cong moi 3-4" xfId="4153"/>
    <cellStyle name="T_Book1_Bieu mau cong trinh khoi cong moi 3-4 2" xfId="4154"/>
    <cellStyle name="T_Book1_Bieu mau cong trinh khoi cong moi 3-4_!1 1 bao cao giao KH ve HTCMT vung TNB   12-12-2011" xfId="4155"/>
    <cellStyle name="T_Book1_Bieu mau cong trinh khoi cong moi 3-4_!1 1 bao cao giao KH ve HTCMT vung TNB   12-12-2011 2" xfId="4156"/>
    <cellStyle name="T_Book1_Bieu mau cong trinh khoi cong moi 3-4_KH TPCP vung TNB (03-1-2012)" xfId="4157"/>
    <cellStyle name="T_Book1_Bieu mau cong trinh khoi cong moi 3-4_KH TPCP vung TNB (03-1-2012) 2" xfId="4158"/>
    <cellStyle name="T_Book1_Bieu mau danh muc du an thuoc CTMTQG nam 2008" xfId="4159"/>
    <cellStyle name="T_Book1_Bieu mau danh muc du an thuoc CTMTQG nam 2008 2" xfId="4160"/>
    <cellStyle name="T_Book1_Bieu mau danh muc du an thuoc CTMTQG nam 2008_!1 1 bao cao giao KH ve HTCMT vung TNB   12-12-2011" xfId="4161"/>
    <cellStyle name="T_Book1_Bieu mau danh muc du an thuoc CTMTQG nam 2008_!1 1 bao cao giao KH ve HTCMT vung TNB   12-12-2011 2" xfId="4162"/>
    <cellStyle name="T_Book1_Bieu mau danh muc du an thuoc CTMTQG nam 2008_KH TPCP vung TNB (03-1-2012)" xfId="4163"/>
    <cellStyle name="T_Book1_Bieu mau danh muc du an thuoc CTMTQG nam 2008_KH TPCP vung TNB (03-1-2012) 2" xfId="4164"/>
    <cellStyle name="T_Book1_Bieu tong hop nhu cau ung 2011 da chon loc -Mien nui" xfId="4165"/>
    <cellStyle name="T_Book1_Bieu tong hop nhu cau ung 2011 da chon loc -Mien nui 2" xfId="4166"/>
    <cellStyle name="T_Book1_Bieu tong hop nhu cau ung 2011 da chon loc -Mien nui_!1 1 bao cao giao KH ve HTCMT vung TNB   12-12-2011" xfId="4167"/>
    <cellStyle name="T_Book1_Bieu tong hop nhu cau ung 2011 da chon loc -Mien nui_!1 1 bao cao giao KH ve HTCMT vung TNB   12-12-2011 2" xfId="4168"/>
    <cellStyle name="T_Book1_Bieu tong hop nhu cau ung 2011 da chon loc -Mien nui_KH TPCP vung TNB (03-1-2012)" xfId="4169"/>
    <cellStyle name="T_Book1_Bieu tong hop nhu cau ung 2011 da chon loc -Mien nui_KH TPCP vung TNB (03-1-2012) 2" xfId="4170"/>
    <cellStyle name="T_Book1_Bieu3ODA" xfId="4171"/>
    <cellStyle name="T_Book1_Bieu3ODA 2" xfId="4172"/>
    <cellStyle name="T_Book1_Bieu3ODA_!1 1 bao cao giao KH ve HTCMT vung TNB   12-12-2011" xfId="4173"/>
    <cellStyle name="T_Book1_Bieu3ODA_!1 1 bao cao giao KH ve HTCMT vung TNB   12-12-2011 2" xfId="4174"/>
    <cellStyle name="T_Book1_Bieu3ODA_1" xfId="4175"/>
    <cellStyle name="T_Book1_Bieu3ODA_1 2" xfId="4176"/>
    <cellStyle name="T_Book1_Bieu3ODA_1_!1 1 bao cao giao KH ve HTCMT vung TNB   12-12-2011" xfId="4177"/>
    <cellStyle name="T_Book1_Bieu3ODA_1_!1 1 bao cao giao KH ve HTCMT vung TNB   12-12-2011 2" xfId="4178"/>
    <cellStyle name="T_Book1_Bieu3ODA_1_KH TPCP vung TNB (03-1-2012)" xfId="4179"/>
    <cellStyle name="T_Book1_Bieu3ODA_1_KH TPCP vung TNB (03-1-2012) 2" xfId="4180"/>
    <cellStyle name="T_Book1_Bieu3ODA_KH TPCP vung TNB (03-1-2012)" xfId="4181"/>
    <cellStyle name="T_Book1_Bieu3ODA_KH TPCP vung TNB (03-1-2012) 2" xfId="4182"/>
    <cellStyle name="T_Book1_Bieu4HTMT" xfId="4183"/>
    <cellStyle name="T_Book1_Bieu4HTMT 2" xfId="4184"/>
    <cellStyle name="T_Book1_Bieu4HTMT_!1 1 bao cao giao KH ve HTCMT vung TNB   12-12-2011" xfId="4185"/>
    <cellStyle name="T_Book1_Bieu4HTMT_!1 1 bao cao giao KH ve HTCMT vung TNB   12-12-2011 2" xfId="4186"/>
    <cellStyle name="T_Book1_Bieu4HTMT_KH TPCP vung TNB (03-1-2012)" xfId="4187"/>
    <cellStyle name="T_Book1_Bieu4HTMT_KH TPCP vung TNB (03-1-2012) 2" xfId="4188"/>
    <cellStyle name="T_Book1_Book1" xfId="4189"/>
    <cellStyle name="T_Book1_Book1 2" xfId="4190"/>
    <cellStyle name="T_Book1_Cong trinh co y kien LD_Dang_NN_2011-Tay nguyen-9-10" xfId="4191"/>
    <cellStyle name="T_Book1_Cong trinh co y kien LD_Dang_NN_2011-Tay nguyen-9-10 2" xfId="4192"/>
    <cellStyle name="T_Book1_Cong trinh co y kien LD_Dang_NN_2011-Tay nguyen-9-10_!1 1 bao cao giao KH ve HTCMT vung TNB   12-12-2011" xfId="4193"/>
    <cellStyle name="T_Book1_Cong trinh co y kien LD_Dang_NN_2011-Tay nguyen-9-10_!1 1 bao cao giao KH ve HTCMT vung TNB   12-12-2011 2" xfId="4194"/>
    <cellStyle name="T_Book1_Cong trinh co y kien LD_Dang_NN_2011-Tay nguyen-9-10_Bieu4HTMT" xfId="4195"/>
    <cellStyle name="T_Book1_Cong trinh co y kien LD_Dang_NN_2011-Tay nguyen-9-10_Bieu4HTMT 2" xfId="4196"/>
    <cellStyle name="T_Book1_Cong trinh co y kien LD_Dang_NN_2011-Tay nguyen-9-10_KH TPCP vung TNB (03-1-2012)" xfId="4197"/>
    <cellStyle name="T_Book1_Cong trinh co y kien LD_Dang_NN_2011-Tay nguyen-9-10_KH TPCP vung TNB (03-1-2012) 2" xfId="4198"/>
    <cellStyle name="T_Book1_CPK" xfId="4199"/>
    <cellStyle name="T_Book1_CPK 2" xfId="4200"/>
    <cellStyle name="T_Book1_danh muc chuan bi dau tu 2011 ngay 07-6-2011" xfId="4201"/>
    <cellStyle name="T_Book1_danh muc chuan bi dau tu 2011 ngay 07-6-2011 2" xfId="4202"/>
    <cellStyle name="T_Book1_dieu chinh KH 2011 ngay 26-5-2011111" xfId="4203"/>
    <cellStyle name="T_Book1_dieu chinh KH 2011 ngay 26-5-2011111 2" xfId="4204"/>
    <cellStyle name="T_Book1_DK 2014-2015 final" xfId="4205"/>
    <cellStyle name="T_Book1_DK 2014-2015 final_05-12  KH trung han 2016-2020 - Liem Thinh edited" xfId="4206"/>
    <cellStyle name="T_Book1_DK 2014-2015 final_Copy of 05-12  KH trung han 2016-2020 - Liem Thinh edited (1)" xfId="4207"/>
    <cellStyle name="T_Book1_DK 2014-2015 new" xfId="4208"/>
    <cellStyle name="T_Book1_DK 2014-2015 new_05-12  KH trung han 2016-2020 - Liem Thinh edited" xfId="4209"/>
    <cellStyle name="T_Book1_DK 2014-2015 new_Copy of 05-12  KH trung han 2016-2020 - Liem Thinh edited (1)" xfId="4210"/>
    <cellStyle name="T_Book1_DK KH CBDT 2014 11-11-2013" xfId="4211"/>
    <cellStyle name="T_Book1_DK KH CBDT 2014 11-11-2013(1)" xfId="4212"/>
    <cellStyle name="T_Book1_DK KH CBDT 2014 11-11-2013(1)_05-12  KH trung han 2016-2020 - Liem Thinh edited" xfId="4213"/>
    <cellStyle name="T_Book1_DK KH CBDT 2014 11-11-2013(1)_Copy of 05-12  KH trung han 2016-2020 - Liem Thinh edited (1)" xfId="4214"/>
    <cellStyle name="T_Book1_DK KH CBDT 2014 11-11-2013_05-12  KH trung han 2016-2020 - Liem Thinh edited" xfId="4215"/>
    <cellStyle name="T_Book1_DK KH CBDT 2014 11-11-2013_Copy of 05-12  KH trung han 2016-2020 - Liem Thinh edited (1)" xfId="4216"/>
    <cellStyle name="T_Book1_Du an khoi cong moi nam 2010" xfId="4217"/>
    <cellStyle name="T_Book1_Du an khoi cong moi nam 2010 2" xfId="4218"/>
    <cellStyle name="T_Book1_Du an khoi cong moi nam 2010_!1 1 bao cao giao KH ve HTCMT vung TNB   12-12-2011" xfId="4219"/>
    <cellStyle name="T_Book1_Du an khoi cong moi nam 2010_!1 1 bao cao giao KH ve HTCMT vung TNB   12-12-2011 2" xfId="4220"/>
    <cellStyle name="T_Book1_Du an khoi cong moi nam 2010_KH TPCP vung TNB (03-1-2012)" xfId="4221"/>
    <cellStyle name="T_Book1_Du an khoi cong moi nam 2010_KH TPCP vung TNB (03-1-2012) 2" xfId="4222"/>
    <cellStyle name="T_Book1_giao KH 2011 ngay 10-12-2010" xfId="4223"/>
    <cellStyle name="T_Book1_giao KH 2011 ngay 10-12-2010 2" xfId="4224"/>
    <cellStyle name="T_Book1_Hang Tom goi9 9-07(Cau 12 sua)" xfId="4225"/>
    <cellStyle name="T_Book1_Hang Tom goi9 9-07(Cau 12 sua) 2" xfId="4226"/>
    <cellStyle name="T_Book1_Ket qua phan bo von nam 2008" xfId="4227"/>
    <cellStyle name="T_Book1_Ket qua phan bo von nam 2008 2" xfId="4228"/>
    <cellStyle name="T_Book1_Ket qua phan bo von nam 2008_!1 1 bao cao giao KH ve HTCMT vung TNB   12-12-2011" xfId="4229"/>
    <cellStyle name="T_Book1_Ket qua phan bo von nam 2008_!1 1 bao cao giao KH ve HTCMT vung TNB   12-12-2011 2" xfId="4230"/>
    <cellStyle name="T_Book1_Ket qua phan bo von nam 2008_KH TPCP vung TNB (03-1-2012)" xfId="4231"/>
    <cellStyle name="T_Book1_Ket qua phan bo von nam 2008_KH TPCP vung TNB (03-1-2012) 2" xfId="4232"/>
    <cellStyle name="T_Book1_KH TPCP vung TNB (03-1-2012)" xfId="4233"/>
    <cellStyle name="T_Book1_KH TPCP vung TNB (03-1-2012) 2" xfId="4234"/>
    <cellStyle name="T_Book1_KH XDCB_2008 lan 2 sua ngay 10-11" xfId="4235"/>
    <cellStyle name="T_Book1_KH XDCB_2008 lan 2 sua ngay 10-11 2" xfId="4236"/>
    <cellStyle name="T_Book1_KH XDCB_2008 lan 2 sua ngay 10-11_!1 1 bao cao giao KH ve HTCMT vung TNB   12-12-2011" xfId="4237"/>
    <cellStyle name="T_Book1_KH XDCB_2008 lan 2 sua ngay 10-11_!1 1 bao cao giao KH ve HTCMT vung TNB   12-12-2011 2" xfId="4238"/>
    <cellStyle name="T_Book1_KH XDCB_2008 lan 2 sua ngay 10-11_KH TPCP vung TNB (03-1-2012)" xfId="4239"/>
    <cellStyle name="T_Book1_KH XDCB_2008 lan 2 sua ngay 10-11_KH TPCP vung TNB (03-1-2012) 2" xfId="4240"/>
    <cellStyle name="T_Book1_Khoi luong chinh Hang Tom" xfId="4241"/>
    <cellStyle name="T_Book1_Khoi luong chinh Hang Tom 2" xfId="4242"/>
    <cellStyle name="T_Book1_kien giang 2" xfId="4243"/>
    <cellStyle name="T_Book1_kien giang 2 2" xfId="4244"/>
    <cellStyle name="T_Book1_Luy ke von ung nam 2011 -Thoa gui ngay 12-8-2012" xfId="4245"/>
    <cellStyle name="T_Book1_Luy ke von ung nam 2011 -Thoa gui ngay 12-8-2012 2" xfId="4246"/>
    <cellStyle name="T_Book1_Luy ke von ung nam 2011 -Thoa gui ngay 12-8-2012_!1 1 bao cao giao KH ve HTCMT vung TNB   12-12-2011" xfId="4247"/>
    <cellStyle name="T_Book1_Luy ke von ung nam 2011 -Thoa gui ngay 12-8-2012_!1 1 bao cao giao KH ve HTCMT vung TNB   12-12-2011 2" xfId="4248"/>
    <cellStyle name="T_Book1_Luy ke von ung nam 2011 -Thoa gui ngay 12-8-2012_KH TPCP vung TNB (03-1-2012)" xfId="4249"/>
    <cellStyle name="T_Book1_Luy ke von ung nam 2011 -Thoa gui ngay 12-8-2012_KH TPCP vung TNB (03-1-2012) 2" xfId="4250"/>
    <cellStyle name="T_Book1_Nhu cau von ung truoc 2011 Tha h Hoa + Nge An gui TW" xfId="4251"/>
    <cellStyle name="T_Book1_Nhu cau von ung truoc 2011 Tha h Hoa + Nge An gui TW 2" xfId="4252"/>
    <cellStyle name="T_Book1_Nhu cau von ung truoc 2011 Tha h Hoa + Nge An gui TW_!1 1 bao cao giao KH ve HTCMT vung TNB   12-12-2011" xfId="4253"/>
    <cellStyle name="T_Book1_Nhu cau von ung truoc 2011 Tha h Hoa + Nge An gui TW_!1 1 bao cao giao KH ve HTCMT vung TNB   12-12-2011 2" xfId="4254"/>
    <cellStyle name="T_Book1_Nhu cau von ung truoc 2011 Tha h Hoa + Nge An gui TW_Bieu4HTMT" xfId="4255"/>
    <cellStyle name="T_Book1_Nhu cau von ung truoc 2011 Tha h Hoa + Nge An gui TW_Bieu4HTMT 2" xfId="4256"/>
    <cellStyle name="T_Book1_Nhu cau von ung truoc 2011 Tha h Hoa + Nge An gui TW_Bieu4HTMT_!1 1 bao cao giao KH ve HTCMT vung TNB   12-12-2011" xfId="4257"/>
    <cellStyle name="T_Book1_Nhu cau von ung truoc 2011 Tha h Hoa + Nge An gui TW_Bieu4HTMT_!1 1 bao cao giao KH ve HTCMT vung TNB   12-12-2011 2" xfId="4258"/>
    <cellStyle name="T_Book1_Nhu cau von ung truoc 2011 Tha h Hoa + Nge An gui TW_Bieu4HTMT_KH TPCP vung TNB (03-1-2012)" xfId="4259"/>
    <cellStyle name="T_Book1_Nhu cau von ung truoc 2011 Tha h Hoa + Nge An gui TW_Bieu4HTMT_KH TPCP vung TNB (03-1-2012) 2" xfId="4260"/>
    <cellStyle name="T_Book1_Nhu cau von ung truoc 2011 Tha h Hoa + Nge An gui TW_KH TPCP vung TNB (03-1-2012)" xfId="4261"/>
    <cellStyle name="T_Book1_Nhu cau von ung truoc 2011 Tha h Hoa + Nge An gui TW_KH TPCP vung TNB (03-1-2012) 2" xfId="4262"/>
    <cellStyle name="T_Book1_phu luc tong ket tinh hinh TH giai doan 03-10 (ngay 30)" xfId="4263"/>
    <cellStyle name="T_Book1_phu luc tong ket tinh hinh TH giai doan 03-10 (ngay 30) 2" xfId="4264"/>
    <cellStyle name="T_Book1_phu luc tong ket tinh hinh TH giai doan 03-10 (ngay 30)_!1 1 bao cao giao KH ve HTCMT vung TNB   12-12-2011" xfId="4265"/>
    <cellStyle name="T_Book1_phu luc tong ket tinh hinh TH giai doan 03-10 (ngay 30)_!1 1 bao cao giao KH ve HTCMT vung TNB   12-12-2011 2" xfId="4266"/>
    <cellStyle name="T_Book1_phu luc tong ket tinh hinh TH giai doan 03-10 (ngay 30)_KH TPCP vung TNB (03-1-2012)" xfId="4267"/>
    <cellStyle name="T_Book1_phu luc tong ket tinh hinh TH giai doan 03-10 (ngay 30)_KH TPCP vung TNB (03-1-2012) 2" xfId="4268"/>
    <cellStyle name="T_Book1_TH ung tren 70%-Ra soat phap ly-8-6 (dung de chuyen vao vu TH)" xfId="4269"/>
    <cellStyle name="T_Book1_TH ung tren 70%-Ra soat phap ly-8-6 (dung de chuyen vao vu TH) 2" xfId="4270"/>
    <cellStyle name="T_Book1_TH ung tren 70%-Ra soat phap ly-8-6 (dung de chuyen vao vu TH)_!1 1 bao cao giao KH ve HTCMT vung TNB   12-12-2011" xfId="4271"/>
    <cellStyle name="T_Book1_TH ung tren 70%-Ra soat phap ly-8-6 (dung de chuyen vao vu TH)_!1 1 bao cao giao KH ve HTCMT vung TNB   12-12-2011 2" xfId="4272"/>
    <cellStyle name="T_Book1_TH ung tren 70%-Ra soat phap ly-8-6 (dung de chuyen vao vu TH)_Bieu4HTMT" xfId="4273"/>
    <cellStyle name="T_Book1_TH ung tren 70%-Ra soat phap ly-8-6 (dung de chuyen vao vu TH)_Bieu4HTMT 2" xfId="4274"/>
    <cellStyle name="T_Book1_TH ung tren 70%-Ra soat phap ly-8-6 (dung de chuyen vao vu TH)_KH TPCP vung TNB (03-1-2012)" xfId="4275"/>
    <cellStyle name="T_Book1_TH ung tren 70%-Ra soat phap ly-8-6 (dung de chuyen vao vu TH)_KH TPCP vung TNB (03-1-2012) 2" xfId="4276"/>
    <cellStyle name="T_Book1_TH y kien LD_KH 2010 Ca Nuoc 22-9-2011-Gui ca Vu" xfId="4277"/>
    <cellStyle name="T_Book1_TH y kien LD_KH 2010 Ca Nuoc 22-9-2011-Gui ca Vu 2" xfId="4278"/>
    <cellStyle name="T_Book1_TH y kien LD_KH 2010 Ca Nuoc 22-9-2011-Gui ca Vu_!1 1 bao cao giao KH ve HTCMT vung TNB   12-12-2011" xfId="4279"/>
    <cellStyle name="T_Book1_TH y kien LD_KH 2010 Ca Nuoc 22-9-2011-Gui ca Vu_!1 1 bao cao giao KH ve HTCMT vung TNB   12-12-2011 2" xfId="4280"/>
    <cellStyle name="T_Book1_TH y kien LD_KH 2010 Ca Nuoc 22-9-2011-Gui ca Vu_Bieu4HTMT" xfId="4281"/>
    <cellStyle name="T_Book1_TH y kien LD_KH 2010 Ca Nuoc 22-9-2011-Gui ca Vu_Bieu4HTMT 2" xfId="4282"/>
    <cellStyle name="T_Book1_TH y kien LD_KH 2010 Ca Nuoc 22-9-2011-Gui ca Vu_KH TPCP vung TNB (03-1-2012)" xfId="4283"/>
    <cellStyle name="T_Book1_TH y kien LD_KH 2010 Ca Nuoc 22-9-2011-Gui ca Vu_KH TPCP vung TNB (03-1-2012) 2" xfId="4284"/>
    <cellStyle name="T_Book1_Thiet bi" xfId="4285"/>
    <cellStyle name="T_Book1_Thiet bi 2" xfId="4286"/>
    <cellStyle name="T_Book1_TN - Ho tro khac 2011" xfId="4287"/>
    <cellStyle name="T_Book1_TN - Ho tro khac 2011 2" xfId="4288"/>
    <cellStyle name="T_Book1_TN - Ho tro khac 2011_!1 1 bao cao giao KH ve HTCMT vung TNB   12-12-2011" xfId="4289"/>
    <cellStyle name="T_Book1_TN - Ho tro khac 2011_!1 1 bao cao giao KH ve HTCMT vung TNB   12-12-2011 2" xfId="4290"/>
    <cellStyle name="T_Book1_TN - Ho tro khac 2011_Bieu4HTMT" xfId="4291"/>
    <cellStyle name="T_Book1_TN - Ho tro khac 2011_Bieu4HTMT 2" xfId="4292"/>
    <cellStyle name="T_Book1_TN - Ho tro khac 2011_KH TPCP vung TNB (03-1-2012)" xfId="4293"/>
    <cellStyle name="T_Book1_TN - Ho tro khac 2011_KH TPCP vung TNB (03-1-2012) 2" xfId="4294"/>
    <cellStyle name="T_Book1_ung truoc 2011 NSTW Thanh Hoa + Nge An gui Thu 12-5" xfId="4295"/>
    <cellStyle name="T_Book1_ung truoc 2011 NSTW Thanh Hoa + Nge An gui Thu 12-5 2" xfId="4296"/>
    <cellStyle name="T_Book1_ung truoc 2011 NSTW Thanh Hoa + Nge An gui Thu 12-5_!1 1 bao cao giao KH ve HTCMT vung TNB   12-12-2011" xfId="4297"/>
    <cellStyle name="T_Book1_ung truoc 2011 NSTW Thanh Hoa + Nge An gui Thu 12-5_!1 1 bao cao giao KH ve HTCMT vung TNB   12-12-2011 2" xfId="4298"/>
    <cellStyle name="T_Book1_ung truoc 2011 NSTW Thanh Hoa + Nge An gui Thu 12-5_Bieu4HTMT" xfId="4299"/>
    <cellStyle name="T_Book1_ung truoc 2011 NSTW Thanh Hoa + Nge An gui Thu 12-5_Bieu4HTMT 2" xfId="4300"/>
    <cellStyle name="T_Book1_ung truoc 2011 NSTW Thanh Hoa + Nge An gui Thu 12-5_Bieu4HTMT_!1 1 bao cao giao KH ve HTCMT vung TNB   12-12-2011" xfId="4301"/>
    <cellStyle name="T_Book1_ung truoc 2011 NSTW Thanh Hoa + Nge An gui Thu 12-5_Bieu4HTMT_!1 1 bao cao giao KH ve HTCMT vung TNB   12-12-2011 2" xfId="4302"/>
    <cellStyle name="T_Book1_ung truoc 2011 NSTW Thanh Hoa + Nge An gui Thu 12-5_Bieu4HTMT_KH TPCP vung TNB (03-1-2012)" xfId="4303"/>
    <cellStyle name="T_Book1_ung truoc 2011 NSTW Thanh Hoa + Nge An gui Thu 12-5_Bieu4HTMT_KH TPCP vung TNB (03-1-2012) 2" xfId="4304"/>
    <cellStyle name="T_Book1_ung truoc 2011 NSTW Thanh Hoa + Nge An gui Thu 12-5_KH TPCP vung TNB (03-1-2012)" xfId="4305"/>
    <cellStyle name="T_Book1_ung truoc 2011 NSTW Thanh Hoa + Nge An gui Thu 12-5_KH TPCP vung TNB (03-1-2012) 2" xfId="4306"/>
    <cellStyle name="T_Book1_ÿÿÿÿÿ" xfId="4307"/>
    <cellStyle name="T_Book1_ÿÿÿÿÿ 2" xfId="4308"/>
    <cellStyle name="T_Chuan bi dau tu nam 2008" xfId="4309"/>
    <cellStyle name="T_Chuan bi dau tu nam 2008 2" xfId="4310"/>
    <cellStyle name="T_Chuan bi dau tu nam 2008_!1 1 bao cao giao KH ve HTCMT vung TNB   12-12-2011" xfId="4311"/>
    <cellStyle name="T_Chuan bi dau tu nam 2008_!1 1 bao cao giao KH ve HTCMT vung TNB   12-12-2011 2" xfId="4312"/>
    <cellStyle name="T_Chuan bi dau tu nam 2008_KH TPCP vung TNB (03-1-2012)" xfId="4313"/>
    <cellStyle name="T_Chuan bi dau tu nam 2008_KH TPCP vung TNB (03-1-2012) 2" xfId="4314"/>
    <cellStyle name="T_Copy of Bao cao  XDCB 7 thang nam 2008_So KH&amp;DT SUA" xfId="4315"/>
    <cellStyle name="T_Copy of Bao cao  XDCB 7 thang nam 2008_So KH&amp;DT SUA 2" xfId="4316"/>
    <cellStyle name="T_Copy of Bao cao  XDCB 7 thang nam 2008_So KH&amp;DT SUA_!1 1 bao cao giao KH ve HTCMT vung TNB   12-12-2011" xfId="4317"/>
    <cellStyle name="T_Copy of Bao cao  XDCB 7 thang nam 2008_So KH&amp;DT SUA_!1 1 bao cao giao KH ve HTCMT vung TNB   12-12-2011 2" xfId="4318"/>
    <cellStyle name="T_Copy of Bao cao  XDCB 7 thang nam 2008_So KH&amp;DT SUA_KH TPCP vung TNB (03-1-2012)" xfId="4319"/>
    <cellStyle name="T_Copy of Bao cao  XDCB 7 thang nam 2008_So KH&amp;DT SUA_KH TPCP vung TNB (03-1-2012) 2" xfId="4320"/>
    <cellStyle name="T_CPK" xfId="4321"/>
    <cellStyle name="T_CPK 2" xfId="4322"/>
    <cellStyle name="T_CPK_!1 1 bao cao giao KH ve HTCMT vung TNB   12-12-2011" xfId="4323"/>
    <cellStyle name="T_CPK_!1 1 bao cao giao KH ve HTCMT vung TNB   12-12-2011 2" xfId="4324"/>
    <cellStyle name="T_CPK_Bieu4HTMT" xfId="4325"/>
    <cellStyle name="T_CPK_Bieu4HTMT 2" xfId="4326"/>
    <cellStyle name="T_CPK_Bieu4HTMT_!1 1 bao cao giao KH ve HTCMT vung TNB   12-12-2011" xfId="4327"/>
    <cellStyle name="T_CPK_Bieu4HTMT_!1 1 bao cao giao KH ve HTCMT vung TNB   12-12-2011 2" xfId="4328"/>
    <cellStyle name="T_CPK_Bieu4HTMT_KH TPCP vung TNB (03-1-2012)" xfId="4329"/>
    <cellStyle name="T_CPK_Bieu4HTMT_KH TPCP vung TNB (03-1-2012) 2" xfId="4330"/>
    <cellStyle name="T_CPK_KH TPCP vung TNB (03-1-2012)" xfId="4331"/>
    <cellStyle name="T_CPK_KH TPCP vung TNB (03-1-2012) 2" xfId="4332"/>
    <cellStyle name="T_CTMTQG 2008" xfId="4333"/>
    <cellStyle name="T_CTMTQG 2008 2" xfId="4334"/>
    <cellStyle name="T_CTMTQG 2008_!1 1 bao cao giao KH ve HTCMT vung TNB   12-12-2011" xfId="4335"/>
    <cellStyle name="T_CTMTQG 2008_!1 1 bao cao giao KH ve HTCMT vung TNB   12-12-2011 2" xfId="4336"/>
    <cellStyle name="T_CTMTQG 2008_Bieu mau danh muc du an thuoc CTMTQG nam 2008" xfId="4337"/>
    <cellStyle name="T_CTMTQG 2008_Bieu mau danh muc du an thuoc CTMTQG nam 2008 2" xfId="4338"/>
    <cellStyle name="T_CTMTQG 2008_Bieu mau danh muc du an thuoc CTMTQG nam 2008_!1 1 bao cao giao KH ve HTCMT vung TNB   12-12-2011" xfId="4339"/>
    <cellStyle name="T_CTMTQG 2008_Bieu mau danh muc du an thuoc CTMTQG nam 2008_!1 1 bao cao giao KH ve HTCMT vung TNB   12-12-2011 2" xfId="4340"/>
    <cellStyle name="T_CTMTQG 2008_Bieu mau danh muc du an thuoc CTMTQG nam 2008_KH TPCP vung TNB (03-1-2012)" xfId="4341"/>
    <cellStyle name="T_CTMTQG 2008_Bieu mau danh muc du an thuoc CTMTQG nam 2008_KH TPCP vung TNB (03-1-2012) 2" xfId="4342"/>
    <cellStyle name="T_CTMTQG 2008_Hi-Tong hop KQ phan bo KH nam 08- LD fong giao 15-11-08" xfId="4343"/>
    <cellStyle name="T_CTMTQG 2008_Hi-Tong hop KQ phan bo KH nam 08- LD fong giao 15-11-08 2" xfId="4344"/>
    <cellStyle name="T_CTMTQG 2008_Hi-Tong hop KQ phan bo KH nam 08- LD fong giao 15-11-08_!1 1 bao cao giao KH ve HTCMT vung TNB   12-12-2011" xfId="4345"/>
    <cellStyle name="T_CTMTQG 2008_Hi-Tong hop KQ phan bo KH nam 08- LD fong giao 15-11-08_!1 1 bao cao giao KH ve HTCMT vung TNB   12-12-2011 2" xfId="4346"/>
    <cellStyle name="T_CTMTQG 2008_Hi-Tong hop KQ phan bo KH nam 08- LD fong giao 15-11-08_KH TPCP vung TNB (03-1-2012)" xfId="4347"/>
    <cellStyle name="T_CTMTQG 2008_Hi-Tong hop KQ phan bo KH nam 08- LD fong giao 15-11-08_KH TPCP vung TNB (03-1-2012) 2" xfId="4348"/>
    <cellStyle name="T_CTMTQG 2008_Ket qua thuc hien nam 2008" xfId="4349"/>
    <cellStyle name="T_CTMTQG 2008_Ket qua thuc hien nam 2008 2" xfId="4350"/>
    <cellStyle name="T_CTMTQG 2008_Ket qua thuc hien nam 2008_!1 1 bao cao giao KH ve HTCMT vung TNB   12-12-2011" xfId="4351"/>
    <cellStyle name="T_CTMTQG 2008_Ket qua thuc hien nam 2008_!1 1 bao cao giao KH ve HTCMT vung TNB   12-12-2011 2" xfId="4352"/>
    <cellStyle name="T_CTMTQG 2008_Ket qua thuc hien nam 2008_KH TPCP vung TNB (03-1-2012)" xfId="4353"/>
    <cellStyle name="T_CTMTQG 2008_Ket qua thuc hien nam 2008_KH TPCP vung TNB (03-1-2012) 2" xfId="4354"/>
    <cellStyle name="T_CTMTQG 2008_KH TPCP vung TNB (03-1-2012)" xfId="4355"/>
    <cellStyle name="T_CTMTQG 2008_KH TPCP vung TNB (03-1-2012) 2" xfId="4356"/>
    <cellStyle name="T_CTMTQG 2008_KH XDCB_2008 lan 1" xfId="4357"/>
    <cellStyle name="T_CTMTQG 2008_KH XDCB_2008 lan 1 2" xfId="4358"/>
    <cellStyle name="T_CTMTQG 2008_KH XDCB_2008 lan 1 sua ngay 27-10" xfId="4359"/>
    <cellStyle name="T_CTMTQG 2008_KH XDCB_2008 lan 1 sua ngay 27-10 2" xfId="4360"/>
    <cellStyle name="T_CTMTQG 2008_KH XDCB_2008 lan 1 sua ngay 27-10_!1 1 bao cao giao KH ve HTCMT vung TNB   12-12-2011" xfId="4361"/>
    <cellStyle name="T_CTMTQG 2008_KH XDCB_2008 lan 1 sua ngay 27-10_!1 1 bao cao giao KH ve HTCMT vung TNB   12-12-2011 2" xfId="4362"/>
    <cellStyle name="T_CTMTQG 2008_KH XDCB_2008 lan 1 sua ngay 27-10_KH TPCP vung TNB (03-1-2012)" xfId="4363"/>
    <cellStyle name="T_CTMTQG 2008_KH XDCB_2008 lan 1 sua ngay 27-10_KH TPCP vung TNB (03-1-2012) 2" xfId="4364"/>
    <cellStyle name="T_CTMTQG 2008_KH XDCB_2008 lan 1_!1 1 bao cao giao KH ve HTCMT vung TNB   12-12-2011" xfId="4365"/>
    <cellStyle name="T_CTMTQG 2008_KH XDCB_2008 lan 1_!1 1 bao cao giao KH ve HTCMT vung TNB   12-12-2011 2" xfId="4366"/>
    <cellStyle name="T_CTMTQG 2008_KH XDCB_2008 lan 1_KH TPCP vung TNB (03-1-2012)" xfId="4367"/>
    <cellStyle name="T_CTMTQG 2008_KH XDCB_2008 lan 1_KH TPCP vung TNB (03-1-2012) 2" xfId="4368"/>
    <cellStyle name="T_CTMTQG 2008_KH XDCB_2008 lan 2 sua ngay 10-11" xfId="4369"/>
    <cellStyle name="T_CTMTQG 2008_KH XDCB_2008 lan 2 sua ngay 10-11 2" xfId="4370"/>
    <cellStyle name="T_CTMTQG 2008_KH XDCB_2008 lan 2 sua ngay 10-11_!1 1 bao cao giao KH ve HTCMT vung TNB   12-12-2011" xfId="4371"/>
    <cellStyle name="T_CTMTQG 2008_KH XDCB_2008 lan 2 sua ngay 10-11_!1 1 bao cao giao KH ve HTCMT vung TNB   12-12-2011 2" xfId="4372"/>
    <cellStyle name="T_CTMTQG 2008_KH XDCB_2008 lan 2 sua ngay 10-11_KH TPCP vung TNB (03-1-2012)" xfId="4373"/>
    <cellStyle name="T_CTMTQG 2008_KH XDCB_2008 lan 2 sua ngay 10-11_KH TPCP vung TNB (03-1-2012) 2" xfId="4374"/>
    <cellStyle name="T_danh muc chuan bi dau tu 2011 ngay 07-6-2011" xfId="4375"/>
    <cellStyle name="T_danh muc chuan bi dau tu 2011 ngay 07-6-2011 2" xfId="4376"/>
    <cellStyle name="T_danh muc chuan bi dau tu 2011 ngay 07-6-2011_!1 1 bao cao giao KH ve HTCMT vung TNB   12-12-2011" xfId="4377"/>
    <cellStyle name="T_danh muc chuan bi dau tu 2011 ngay 07-6-2011_!1 1 bao cao giao KH ve HTCMT vung TNB   12-12-2011 2" xfId="4378"/>
    <cellStyle name="T_danh muc chuan bi dau tu 2011 ngay 07-6-2011_KH TPCP vung TNB (03-1-2012)" xfId="4379"/>
    <cellStyle name="T_danh muc chuan bi dau tu 2011 ngay 07-6-2011_KH TPCP vung TNB (03-1-2012) 2" xfId="4380"/>
    <cellStyle name="T_Danh muc pbo nguon von XSKT, XDCB nam 2009 chuyen qua nam 2010" xfId="4381"/>
    <cellStyle name="T_Danh muc pbo nguon von XSKT, XDCB nam 2009 chuyen qua nam 2010 2" xfId="4382"/>
    <cellStyle name="T_Danh muc pbo nguon von XSKT, XDCB nam 2009 chuyen qua nam 2010_!1 1 bao cao giao KH ve HTCMT vung TNB   12-12-2011" xfId="4383"/>
    <cellStyle name="T_Danh muc pbo nguon von XSKT, XDCB nam 2009 chuyen qua nam 2010_!1 1 bao cao giao KH ve HTCMT vung TNB   12-12-2011 2" xfId="4384"/>
    <cellStyle name="T_Danh muc pbo nguon von XSKT, XDCB nam 2009 chuyen qua nam 2010_KH TPCP vung TNB (03-1-2012)" xfId="4385"/>
    <cellStyle name="T_Danh muc pbo nguon von XSKT, XDCB nam 2009 chuyen qua nam 2010_KH TPCP vung TNB (03-1-2012) 2" xfId="4386"/>
    <cellStyle name="T_dieu chinh KH 2011 ngay 26-5-2011111" xfId="4387"/>
    <cellStyle name="T_dieu chinh KH 2011 ngay 26-5-2011111 2" xfId="4388"/>
    <cellStyle name="T_dieu chinh KH 2011 ngay 26-5-2011111_!1 1 bao cao giao KH ve HTCMT vung TNB   12-12-2011" xfId="4389"/>
    <cellStyle name="T_dieu chinh KH 2011 ngay 26-5-2011111_!1 1 bao cao giao KH ve HTCMT vung TNB   12-12-2011 2" xfId="4390"/>
    <cellStyle name="T_dieu chinh KH 2011 ngay 26-5-2011111_KH TPCP vung TNB (03-1-2012)" xfId="4391"/>
    <cellStyle name="T_dieu chinh KH 2011 ngay 26-5-2011111_KH TPCP vung TNB (03-1-2012) 2" xfId="4392"/>
    <cellStyle name="T_DK 2014-2015 final" xfId="4393"/>
    <cellStyle name="T_DK 2014-2015 final_05-12  KH trung han 2016-2020 - Liem Thinh edited" xfId="4394"/>
    <cellStyle name="T_DK 2014-2015 final_Copy of 05-12  KH trung han 2016-2020 - Liem Thinh edited (1)" xfId="4395"/>
    <cellStyle name="T_DK 2014-2015 new" xfId="4396"/>
    <cellStyle name="T_DK 2014-2015 new_05-12  KH trung han 2016-2020 - Liem Thinh edited" xfId="4397"/>
    <cellStyle name="T_DK 2014-2015 new_Copy of 05-12  KH trung han 2016-2020 - Liem Thinh edited (1)" xfId="4398"/>
    <cellStyle name="T_DK KH CBDT 2014 11-11-2013" xfId="4399"/>
    <cellStyle name="T_DK KH CBDT 2014 11-11-2013(1)" xfId="4400"/>
    <cellStyle name="T_DK KH CBDT 2014 11-11-2013(1)_05-12  KH trung han 2016-2020 - Liem Thinh edited" xfId="4401"/>
    <cellStyle name="T_DK KH CBDT 2014 11-11-2013(1)_Copy of 05-12  KH trung han 2016-2020 - Liem Thinh edited (1)" xfId="4402"/>
    <cellStyle name="T_DK KH CBDT 2014 11-11-2013_05-12  KH trung han 2016-2020 - Liem Thinh edited" xfId="4403"/>
    <cellStyle name="T_DK KH CBDT 2014 11-11-2013_Copy of 05-12  KH trung han 2016-2020 - Liem Thinh edited (1)" xfId="4404"/>
    <cellStyle name="T_DS KCH PHAN BO VON NSDP NAM 2010" xfId="4405"/>
    <cellStyle name="T_DS KCH PHAN BO VON NSDP NAM 2010 2" xfId="4406"/>
    <cellStyle name="T_DS KCH PHAN BO VON NSDP NAM 2010_!1 1 bao cao giao KH ve HTCMT vung TNB   12-12-2011" xfId="4407"/>
    <cellStyle name="T_DS KCH PHAN BO VON NSDP NAM 2010_!1 1 bao cao giao KH ve HTCMT vung TNB   12-12-2011 2" xfId="4408"/>
    <cellStyle name="T_DS KCH PHAN BO VON NSDP NAM 2010_KH TPCP vung TNB (03-1-2012)" xfId="4409"/>
    <cellStyle name="T_DS KCH PHAN BO VON NSDP NAM 2010_KH TPCP vung TNB (03-1-2012) 2" xfId="4410"/>
    <cellStyle name="T_Du an khoi cong moi nam 2010" xfId="4411"/>
    <cellStyle name="T_Du an khoi cong moi nam 2010 2" xfId="4412"/>
    <cellStyle name="T_Du an khoi cong moi nam 2010_!1 1 bao cao giao KH ve HTCMT vung TNB   12-12-2011" xfId="4413"/>
    <cellStyle name="T_Du an khoi cong moi nam 2010_!1 1 bao cao giao KH ve HTCMT vung TNB   12-12-2011 2" xfId="4414"/>
    <cellStyle name="T_Du an khoi cong moi nam 2010_KH TPCP vung TNB (03-1-2012)" xfId="4415"/>
    <cellStyle name="T_Du an khoi cong moi nam 2010_KH TPCP vung TNB (03-1-2012) 2" xfId="4416"/>
    <cellStyle name="T_DU AN TKQH VA CHUAN BI DAU TU NAM 2007 sua ngay 9-11" xfId="4417"/>
    <cellStyle name="T_DU AN TKQH VA CHUAN BI DAU TU NAM 2007 sua ngay 9-11 2" xfId="4418"/>
    <cellStyle name="T_DU AN TKQH VA CHUAN BI DAU TU NAM 2007 sua ngay 9-11_!1 1 bao cao giao KH ve HTCMT vung TNB   12-12-2011" xfId="4419"/>
    <cellStyle name="T_DU AN TKQH VA CHUAN BI DAU TU NAM 2007 sua ngay 9-11_!1 1 bao cao giao KH ve HTCMT vung TNB   12-12-2011 2" xfId="4420"/>
    <cellStyle name="T_DU AN TKQH VA CHUAN BI DAU TU NAM 2007 sua ngay 9-11_Bieu mau danh muc du an thuoc CTMTQG nam 2008" xfId="4421"/>
    <cellStyle name="T_DU AN TKQH VA CHUAN BI DAU TU NAM 2007 sua ngay 9-11_Bieu mau danh muc du an thuoc CTMTQG nam 2008 2" xfId="4422"/>
    <cellStyle name="T_DU AN TKQH VA CHUAN BI DAU TU NAM 2007 sua ngay 9-11_Bieu mau danh muc du an thuoc CTMTQG nam 2008_!1 1 bao cao giao KH ve HTCMT vung TNB   12-12-2011" xfId="4423"/>
    <cellStyle name="T_DU AN TKQH VA CHUAN BI DAU TU NAM 2007 sua ngay 9-11_Bieu mau danh muc du an thuoc CTMTQG nam 2008_!1 1 bao cao giao KH ve HTCMT vung TNB   12-12-2011 2" xfId="4424"/>
    <cellStyle name="T_DU AN TKQH VA CHUAN BI DAU TU NAM 2007 sua ngay 9-11_Bieu mau danh muc du an thuoc CTMTQG nam 2008_KH TPCP vung TNB (03-1-2012)" xfId="4425"/>
    <cellStyle name="T_DU AN TKQH VA CHUAN BI DAU TU NAM 2007 sua ngay 9-11_Bieu mau danh muc du an thuoc CTMTQG nam 2008_KH TPCP vung TNB (03-1-2012) 2" xfId="4426"/>
    <cellStyle name="T_DU AN TKQH VA CHUAN BI DAU TU NAM 2007 sua ngay 9-11_Du an khoi cong moi nam 2010" xfId="4427"/>
    <cellStyle name="T_DU AN TKQH VA CHUAN BI DAU TU NAM 2007 sua ngay 9-11_Du an khoi cong moi nam 2010 2" xfId="4428"/>
    <cellStyle name="T_DU AN TKQH VA CHUAN BI DAU TU NAM 2007 sua ngay 9-11_Du an khoi cong moi nam 2010_!1 1 bao cao giao KH ve HTCMT vung TNB   12-12-2011" xfId="4429"/>
    <cellStyle name="T_DU AN TKQH VA CHUAN BI DAU TU NAM 2007 sua ngay 9-11_Du an khoi cong moi nam 2010_!1 1 bao cao giao KH ve HTCMT vung TNB   12-12-2011 2" xfId="4430"/>
    <cellStyle name="T_DU AN TKQH VA CHUAN BI DAU TU NAM 2007 sua ngay 9-11_Du an khoi cong moi nam 2010_KH TPCP vung TNB (03-1-2012)" xfId="4431"/>
    <cellStyle name="T_DU AN TKQH VA CHUAN BI DAU TU NAM 2007 sua ngay 9-11_Du an khoi cong moi nam 2010_KH TPCP vung TNB (03-1-2012) 2" xfId="4432"/>
    <cellStyle name="T_DU AN TKQH VA CHUAN BI DAU TU NAM 2007 sua ngay 9-11_Ket qua phan bo von nam 2008" xfId="4433"/>
    <cellStyle name="T_DU AN TKQH VA CHUAN BI DAU TU NAM 2007 sua ngay 9-11_Ket qua phan bo von nam 2008 2" xfId="4434"/>
    <cellStyle name="T_DU AN TKQH VA CHUAN BI DAU TU NAM 2007 sua ngay 9-11_Ket qua phan bo von nam 2008_!1 1 bao cao giao KH ve HTCMT vung TNB   12-12-2011" xfId="4435"/>
    <cellStyle name="T_DU AN TKQH VA CHUAN BI DAU TU NAM 2007 sua ngay 9-11_Ket qua phan bo von nam 2008_!1 1 bao cao giao KH ve HTCMT vung TNB   12-12-2011 2" xfId="4436"/>
    <cellStyle name="T_DU AN TKQH VA CHUAN BI DAU TU NAM 2007 sua ngay 9-11_Ket qua phan bo von nam 2008_!1 1 bao cao giao KH ve HTCMT vung TNB   12-12-2011 2 2" xfId="4437"/>
    <cellStyle name="T_DU AN TKQH VA CHUAN BI DAU TU NAM 2007 sua ngay 9-11_Ket qua phan bo von nam 2008_!1 1 bao cao giao KH ve HTCMT vung TNB   12-12-2011 3" xfId="4438"/>
    <cellStyle name="T_DU AN TKQH VA CHUAN BI DAU TU NAM 2007 sua ngay 9-11_Ket qua phan bo von nam 2008_KH TPCP vung TNB (03-1-2012)" xfId="4439"/>
    <cellStyle name="T_DU AN TKQH VA CHUAN BI DAU TU NAM 2007 sua ngay 9-11_Ket qua phan bo von nam 2008_KH TPCP vung TNB (03-1-2012) 2" xfId="4440"/>
    <cellStyle name="T_DU AN TKQH VA CHUAN BI DAU TU NAM 2007 sua ngay 9-11_Ket qua phan bo von nam 2008_KH TPCP vung TNB (03-1-2012) 2 2" xfId="4441"/>
    <cellStyle name="T_DU AN TKQH VA CHUAN BI DAU TU NAM 2007 sua ngay 9-11_Ket qua phan bo von nam 2008_KH TPCP vung TNB (03-1-2012) 3" xfId="4442"/>
    <cellStyle name="T_DU AN TKQH VA CHUAN BI DAU TU NAM 2007 sua ngay 9-11_KH TPCP vung TNB (03-1-2012)" xfId="4443"/>
    <cellStyle name="T_DU AN TKQH VA CHUAN BI DAU TU NAM 2007 sua ngay 9-11_KH TPCP vung TNB (03-1-2012) 2" xfId="4444"/>
    <cellStyle name="T_DU AN TKQH VA CHUAN BI DAU TU NAM 2007 sua ngay 9-11_KH TPCP vung TNB (03-1-2012) 2 2" xfId="4445"/>
    <cellStyle name="T_DU AN TKQH VA CHUAN BI DAU TU NAM 2007 sua ngay 9-11_KH TPCP vung TNB (03-1-2012) 3" xfId="4446"/>
    <cellStyle name="T_DU AN TKQH VA CHUAN BI DAU TU NAM 2007 sua ngay 9-11_KH XDCB_2008 lan 2 sua ngay 10-11" xfId="4447"/>
    <cellStyle name="T_DU AN TKQH VA CHUAN BI DAU TU NAM 2007 sua ngay 9-11_KH XDCB_2008 lan 2 sua ngay 10-11 2" xfId="4448"/>
    <cellStyle name="T_DU AN TKQH VA CHUAN BI DAU TU NAM 2007 sua ngay 9-11_KH XDCB_2008 lan 2 sua ngay 10-11 2 2" xfId="4449"/>
    <cellStyle name="T_DU AN TKQH VA CHUAN BI DAU TU NAM 2007 sua ngay 9-11_KH XDCB_2008 lan 2 sua ngay 10-11 3" xfId="4450"/>
    <cellStyle name="T_DU AN TKQH VA CHUAN BI DAU TU NAM 2007 sua ngay 9-11_KH XDCB_2008 lan 2 sua ngay 10-11_!1 1 bao cao giao KH ve HTCMT vung TNB   12-12-2011" xfId="4451"/>
    <cellStyle name="T_DU AN TKQH VA CHUAN BI DAU TU NAM 2007 sua ngay 9-11_KH XDCB_2008 lan 2 sua ngay 10-11_!1 1 bao cao giao KH ve HTCMT vung TNB   12-12-2011 2" xfId="4452"/>
    <cellStyle name="T_DU AN TKQH VA CHUAN BI DAU TU NAM 2007 sua ngay 9-11_KH XDCB_2008 lan 2 sua ngay 10-11_!1 1 bao cao giao KH ve HTCMT vung TNB   12-12-2011 2 2" xfId="4453"/>
    <cellStyle name="T_DU AN TKQH VA CHUAN BI DAU TU NAM 2007 sua ngay 9-11_KH XDCB_2008 lan 2 sua ngay 10-11_!1 1 bao cao giao KH ve HTCMT vung TNB   12-12-2011 3" xfId="4454"/>
    <cellStyle name="T_DU AN TKQH VA CHUAN BI DAU TU NAM 2007 sua ngay 9-11_KH XDCB_2008 lan 2 sua ngay 10-11_KH TPCP vung TNB (03-1-2012)" xfId="4455"/>
    <cellStyle name="T_DU AN TKQH VA CHUAN BI DAU TU NAM 2007 sua ngay 9-11_KH XDCB_2008 lan 2 sua ngay 10-11_KH TPCP vung TNB (03-1-2012) 2" xfId="4456"/>
    <cellStyle name="T_DU AN TKQH VA CHUAN BI DAU TU NAM 2007 sua ngay 9-11_KH XDCB_2008 lan 2 sua ngay 10-11_KH TPCP vung TNB (03-1-2012) 2 2" xfId="4457"/>
    <cellStyle name="T_DU AN TKQH VA CHUAN BI DAU TU NAM 2007 sua ngay 9-11_KH XDCB_2008 lan 2 sua ngay 10-11_KH TPCP vung TNB (03-1-2012) 3" xfId="4458"/>
    <cellStyle name="T_du toan dieu chinh  20-8-2006" xfId="4459"/>
    <cellStyle name="T_du toan dieu chinh  20-8-2006 2" xfId="4460"/>
    <cellStyle name="T_du toan dieu chinh  20-8-2006 2 2" xfId="4461"/>
    <cellStyle name="T_du toan dieu chinh  20-8-2006 3" xfId="4462"/>
    <cellStyle name="T_du toan dieu chinh  20-8-2006_!1 1 bao cao giao KH ve HTCMT vung TNB   12-12-2011" xfId="4463"/>
    <cellStyle name="T_du toan dieu chinh  20-8-2006_!1 1 bao cao giao KH ve HTCMT vung TNB   12-12-2011 2" xfId="4464"/>
    <cellStyle name="T_du toan dieu chinh  20-8-2006_!1 1 bao cao giao KH ve HTCMT vung TNB   12-12-2011 2 2" xfId="4465"/>
    <cellStyle name="T_du toan dieu chinh  20-8-2006_!1 1 bao cao giao KH ve HTCMT vung TNB   12-12-2011 3" xfId="4466"/>
    <cellStyle name="T_du toan dieu chinh  20-8-2006_Bieu4HTMT" xfId="4467"/>
    <cellStyle name="T_du toan dieu chinh  20-8-2006_Bieu4HTMT 2" xfId="4468"/>
    <cellStyle name="T_du toan dieu chinh  20-8-2006_Bieu4HTMT 2 2" xfId="4469"/>
    <cellStyle name="T_du toan dieu chinh  20-8-2006_Bieu4HTMT 3" xfId="4470"/>
    <cellStyle name="T_du toan dieu chinh  20-8-2006_Bieu4HTMT_!1 1 bao cao giao KH ve HTCMT vung TNB   12-12-2011" xfId="4471"/>
    <cellStyle name="T_du toan dieu chinh  20-8-2006_Bieu4HTMT_!1 1 bao cao giao KH ve HTCMT vung TNB   12-12-2011 2" xfId="4472"/>
    <cellStyle name="T_du toan dieu chinh  20-8-2006_Bieu4HTMT_!1 1 bao cao giao KH ve HTCMT vung TNB   12-12-2011 2 2" xfId="4473"/>
    <cellStyle name="T_du toan dieu chinh  20-8-2006_Bieu4HTMT_!1 1 bao cao giao KH ve HTCMT vung TNB   12-12-2011 3" xfId="4474"/>
    <cellStyle name="T_du toan dieu chinh  20-8-2006_Bieu4HTMT_KH TPCP vung TNB (03-1-2012)" xfId="4475"/>
    <cellStyle name="T_du toan dieu chinh  20-8-2006_Bieu4HTMT_KH TPCP vung TNB (03-1-2012) 2" xfId="4476"/>
    <cellStyle name="T_du toan dieu chinh  20-8-2006_Bieu4HTMT_KH TPCP vung TNB (03-1-2012) 2 2" xfId="4477"/>
    <cellStyle name="T_du toan dieu chinh  20-8-2006_Bieu4HTMT_KH TPCP vung TNB (03-1-2012) 3" xfId="4478"/>
    <cellStyle name="T_du toan dieu chinh  20-8-2006_KH TPCP vung TNB (03-1-2012)" xfId="4479"/>
    <cellStyle name="T_du toan dieu chinh  20-8-2006_KH TPCP vung TNB (03-1-2012) 2" xfId="4480"/>
    <cellStyle name="T_du toan dieu chinh  20-8-2006_KH TPCP vung TNB (03-1-2012) 2 2" xfId="4481"/>
    <cellStyle name="T_du toan dieu chinh  20-8-2006_KH TPCP vung TNB (03-1-2012) 3" xfId="4482"/>
    <cellStyle name="T_giao KH 2011 ngay 10-12-2010" xfId="4483"/>
    <cellStyle name="T_giao KH 2011 ngay 10-12-2010 2" xfId="4484"/>
    <cellStyle name="T_giao KH 2011 ngay 10-12-2010 2 2" xfId="4485"/>
    <cellStyle name="T_giao KH 2011 ngay 10-12-2010 3" xfId="4486"/>
    <cellStyle name="T_giao KH 2011 ngay 10-12-2010_!1 1 bao cao giao KH ve HTCMT vung TNB   12-12-2011" xfId="4487"/>
    <cellStyle name="T_giao KH 2011 ngay 10-12-2010_!1 1 bao cao giao KH ve HTCMT vung TNB   12-12-2011 2" xfId="4488"/>
    <cellStyle name="T_giao KH 2011 ngay 10-12-2010_!1 1 bao cao giao KH ve HTCMT vung TNB   12-12-2011 2 2" xfId="4489"/>
    <cellStyle name="T_giao KH 2011 ngay 10-12-2010_!1 1 bao cao giao KH ve HTCMT vung TNB   12-12-2011 3" xfId="4490"/>
    <cellStyle name="T_giao KH 2011 ngay 10-12-2010_KH TPCP vung TNB (03-1-2012)" xfId="4491"/>
    <cellStyle name="T_giao KH 2011 ngay 10-12-2010_KH TPCP vung TNB (03-1-2012) 2" xfId="4492"/>
    <cellStyle name="T_giao KH 2011 ngay 10-12-2010_KH TPCP vung TNB (03-1-2012) 2 2" xfId="4493"/>
    <cellStyle name="T_giao KH 2011 ngay 10-12-2010_KH TPCP vung TNB (03-1-2012) 3" xfId="4494"/>
    <cellStyle name="T_Ht-PTq1-03" xfId="4495"/>
    <cellStyle name="T_Ht-PTq1-03 2" xfId="4496"/>
    <cellStyle name="T_Ht-PTq1-03 2 2" xfId="4497"/>
    <cellStyle name="T_Ht-PTq1-03 3" xfId="4498"/>
    <cellStyle name="T_Ht-PTq1-03_!1 1 bao cao giao KH ve HTCMT vung TNB   12-12-2011" xfId="4499"/>
    <cellStyle name="T_Ht-PTq1-03_!1 1 bao cao giao KH ve HTCMT vung TNB   12-12-2011 2" xfId="4500"/>
    <cellStyle name="T_Ht-PTq1-03_!1 1 bao cao giao KH ve HTCMT vung TNB   12-12-2011 2 2" xfId="4501"/>
    <cellStyle name="T_Ht-PTq1-03_!1 1 bao cao giao KH ve HTCMT vung TNB   12-12-2011 3" xfId="4502"/>
    <cellStyle name="T_Ht-PTq1-03_kien giang 2" xfId="4503"/>
    <cellStyle name="T_Ht-PTq1-03_kien giang 2 2" xfId="4504"/>
    <cellStyle name="T_Ht-PTq1-03_kien giang 2 2 2" xfId="4505"/>
    <cellStyle name="T_Ht-PTq1-03_kien giang 2 3" xfId="4506"/>
    <cellStyle name="T_Ke hoach KTXH  nam 2009_PKT thang 11 nam 2008" xfId="4507"/>
    <cellStyle name="T_Ke hoach KTXH  nam 2009_PKT thang 11 nam 2008 2" xfId="4508"/>
    <cellStyle name="T_Ke hoach KTXH  nam 2009_PKT thang 11 nam 2008 2 2" xfId="4509"/>
    <cellStyle name="T_Ke hoach KTXH  nam 2009_PKT thang 11 nam 2008 3" xfId="4510"/>
    <cellStyle name="T_Ke hoach KTXH  nam 2009_PKT thang 11 nam 2008_!1 1 bao cao giao KH ve HTCMT vung TNB   12-12-2011" xfId="4511"/>
    <cellStyle name="T_Ke hoach KTXH  nam 2009_PKT thang 11 nam 2008_!1 1 bao cao giao KH ve HTCMT vung TNB   12-12-2011 2" xfId="4512"/>
    <cellStyle name="T_Ke hoach KTXH  nam 2009_PKT thang 11 nam 2008_!1 1 bao cao giao KH ve HTCMT vung TNB   12-12-2011 2 2" xfId="4513"/>
    <cellStyle name="T_Ke hoach KTXH  nam 2009_PKT thang 11 nam 2008_!1 1 bao cao giao KH ve HTCMT vung TNB   12-12-2011 3" xfId="4514"/>
    <cellStyle name="T_Ke hoach KTXH  nam 2009_PKT thang 11 nam 2008_KH TPCP vung TNB (03-1-2012)" xfId="4515"/>
    <cellStyle name="T_Ke hoach KTXH  nam 2009_PKT thang 11 nam 2008_KH TPCP vung TNB (03-1-2012) 2" xfId="4516"/>
    <cellStyle name="T_Ke hoach KTXH  nam 2009_PKT thang 11 nam 2008_KH TPCP vung TNB (03-1-2012) 2 2" xfId="4517"/>
    <cellStyle name="T_Ke hoach KTXH  nam 2009_PKT thang 11 nam 2008_KH TPCP vung TNB (03-1-2012) 3" xfId="4518"/>
    <cellStyle name="T_Ket qua dau thau" xfId="4519"/>
    <cellStyle name="T_Ket qua dau thau 2" xfId="4520"/>
    <cellStyle name="T_Ket qua dau thau 2 2" xfId="4521"/>
    <cellStyle name="T_Ket qua dau thau 3" xfId="4522"/>
    <cellStyle name="T_Ket qua dau thau_!1 1 bao cao giao KH ve HTCMT vung TNB   12-12-2011" xfId="4523"/>
    <cellStyle name="T_Ket qua dau thau_!1 1 bao cao giao KH ve HTCMT vung TNB   12-12-2011 2" xfId="4524"/>
    <cellStyle name="T_Ket qua dau thau_!1 1 bao cao giao KH ve HTCMT vung TNB   12-12-2011 2 2" xfId="4525"/>
    <cellStyle name="T_Ket qua dau thau_!1 1 bao cao giao KH ve HTCMT vung TNB   12-12-2011 3" xfId="4526"/>
    <cellStyle name="T_Ket qua dau thau_KH TPCP vung TNB (03-1-2012)" xfId="4527"/>
    <cellStyle name="T_Ket qua dau thau_KH TPCP vung TNB (03-1-2012) 2" xfId="4528"/>
    <cellStyle name="T_Ket qua dau thau_KH TPCP vung TNB (03-1-2012) 2 2" xfId="4529"/>
    <cellStyle name="T_Ket qua dau thau_KH TPCP vung TNB (03-1-2012) 3" xfId="4530"/>
    <cellStyle name="T_Ket qua phan bo von nam 2008" xfId="4531"/>
    <cellStyle name="T_Ket qua phan bo von nam 2008 2" xfId="4532"/>
    <cellStyle name="T_Ket qua phan bo von nam 2008 2 2" xfId="4533"/>
    <cellStyle name="T_Ket qua phan bo von nam 2008 3" xfId="4534"/>
    <cellStyle name="T_Ket qua phan bo von nam 2008_!1 1 bao cao giao KH ve HTCMT vung TNB   12-12-2011" xfId="4535"/>
    <cellStyle name="T_Ket qua phan bo von nam 2008_!1 1 bao cao giao KH ve HTCMT vung TNB   12-12-2011 2" xfId="4536"/>
    <cellStyle name="T_Ket qua phan bo von nam 2008_!1 1 bao cao giao KH ve HTCMT vung TNB   12-12-2011 2 2" xfId="4537"/>
    <cellStyle name="T_Ket qua phan bo von nam 2008_!1 1 bao cao giao KH ve HTCMT vung TNB   12-12-2011 3" xfId="4538"/>
    <cellStyle name="T_Ket qua phan bo von nam 2008_KH TPCP vung TNB (03-1-2012)" xfId="4539"/>
    <cellStyle name="T_Ket qua phan bo von nam 2008_KH TPCP vung TNB (03-1-2012) 2" xfId="4540"/>
    <cellStyle name="T_Ket qua phan bo von nam 2008_KH TPCP vung TNB (03-1-2012) 2 2" xfId="4541"/>
    <cellStyle name="T_Ket qua phan bo von nam 2008_KH TPCP vung TNB (03-1-2012) 3" xfId="4542"/>
    <cellStyle name="T_KH 2011-2015" xfId="4543"/>
    <cellStyle name="T_KH 2011-2015 2" xfId="4544"/>
    <cellStyle name="T_KH TPCP vung TNB (03-1-2012)" xfId="4545"/>
    <cellStyle name="T_KH TPCP vung TNB (03-1-2012) 2" xfId="4546"/>
    <cellStyle name="T_KH TPCP vung TNB (03-1-2012) 2 2" xfId="4547"/>
    <cellStyle name="T_KH TPCP vung TNB (03-1-2012) 3" xfId="4548"/>
    <cellStyle name="T_KH XDCB_2008 lan 2 sua ngay 10-11" xfId="4549"/>
    <cellStyle name="T_KH XDCB_2008 lan 2 sua ngay 10-11 2" xfId="4550"/>
    <cellStyle name="T_KH XDCB_2008 lan 2 sua ngay 10-11 2 2" xfId="4551"/>
    <cellStyle name="T_KH XDCB_2008 lan 2 sua ngay 10-11 3" xfId="4552"/>
    <cellStyle name="T_KH XDCB_2008 lan 2 sua ngay 10-11_!1 1 bao cao giao KH ve HTCMT vung TNB   12-12-2011" xfId="4553"/>
    <cellStyle name="T_KH XDCB_2008 lan 2 sua ngay 10-11_!1 1 bao cao giao KH ve HTCMT vung TNB   12-12-2011 2" xfId="4554"/>
    <cellStyle name="T_KH XDCB_2008 lan 2 sua ngay 10-11_!1 1 bao cao giao KH ve HTCMT vung TNB   12-12-2011 2 2" xfId="4555"/>
    <cellStyle name="T_KH XDCB_2008 lan 2 sua ngay 10-11_!1 1 bao cao giao KH ve HTCMT vung TNB   12-12-2011 3" xfId="4556"/>
    <cellStyle name="T_KH XDCB_2008 lan 2 sua ngay 10-11_KH TPCP vung TNB (03-1-2012)" xfId="4557"/>
    <cellStyle name="T_KH XDCB_2008 lan 2 sua ngay 10-11_KH TPCP vung TNB (03-1-2012) 2" xfId="4558"/>
    <cellStyle name="T_KH XDCB_2008 lan 2 sua ngay 10-11_KH TPCP vung TNB (03-1-2012) 2 2" xfId="4559"/>
    <cellStyle name="T_KH XDCB_2008 lan 2 sua ngay 10-11_KH TPCP vung TNB (03-1-2012) 3" xfId="4560"/>
    <cellStyle name="T_kien giang 2" xfId="4561"/>
    <cellStyle name="T_kien giang 2 2" xfId="4562"/>
    <cellStyle name="T_kien giang 2 2 2" xfId="4563"/>
    <cellStyle name="T_kien giang 2 3" xfId="4564"/>
    <cellStyle name="T_Me_Tri_6_07" xfId="4565"/>
    <cellStyle name="T_Me_Tri_6_07 2" xfId="4566"/>
    <cellStyle name="T_Me_Tri_6_07 2 2" xfId="4567"/>
    <cellStyle name="T_Me_Tri_6_07 3" xfId="4568"/>
    <cellStyle name="T_Me_Tri_6_07_!1 1 bao cao giao KH ve HTCMT vung TNB   12-12-2011" xfId="4569"/>
    <cellStyle name="T_Me_Tri_6_07_!1 1 bao cao giao KH ve HTCMT vung TNB   12-12-2011 2" xfId="4570"/>
    <cellStyle name="T_Me_Tri_6_07_!1 1 bao cao giao KH ve HTCMT vung TNB   12-12-2011 2 2" xfId="4571"/>
    <cellStyle name="T_Me_Tri_6_07_!1 1 bao cao giao KH ve HTCMT vung TNB   12-12-2011 3" xfId="4572"/>
    <cellStyle name="T_Me_Tri_6_07_Bieu4HTMT" xfId="4573"/>
    <cellStyle name="T_Me_Tri_6_07_Bieu4HTMT 2" xfId="4574"/>
    <cellStyle name="T_Me_Tri_6_07_Bieu4HTMT 2 2" xfId="4575"/>
    <cellStyle name="T_Me_Tri_6_07_Bieu4HTMT 3" xfId="4576"/>
    <cellStyle name="T_Me_Tri_6_07_Bieu4HTMT_!1 1 bao cao giao KH ve HTCMT vung TNB   12-12-2011" xfId="4577"/>
    <cellStyle name="T_Me_Tri_6_07_Bieu4HTMT_!1 1 bao cao giao KH ve HTCMT vung TNB   12-12-2011 2" xfId="4578"/>
    <cellStyle name="T_Me_Tri_6_07_Bieu4HTMT_!1 1 bao cao giao KH ve HTCMT vung TNB   12-12-2011 2 2" xfId="4579"/>
    <cellStyle name="T_Me_Tri_6_07_Bieu4HTMT_!1 1 bao cao giao KH ve HTCMT vung TNB   12-12-2011 3" xfId="4580"/>
    <cellStyle name="T_Me_Tri_6_07_Bieu4HTMT_KH TPCP vung TNB (03-1-2012)" xfId="4581"/>
    <cellStyle name="T_Me_Tri_6_07_Bieu4HTMT_KH TPCP vung TNB (03-1-2012) 2" xfId="4582"/>
    <cellStyle name="T_Me_Tri_6_07_Bieu4HTMT_KH TPCP vung TNB (03-1-2012) 2 2" xfId="4583"/>
    <cellStyle name="T_Me_Tri_6_07_Bieu4HTMT_KH TPCP vung TNB (03-1-2012) 3" xfId="4584"/>
    <cellStyle name="T_Me_Tri_6_07_KH TPCP vung TNB (03-1-2012)" xfId="4585"/>
    <cellStyle name="T_Me_Tri_6_07_KH TPCP vung TNB (03-1-2012) 2" xfId="4586"/>
    <cellStyle name="T_Me_Tri_6_07_KH TPCP vung TNB (03-1-2012) 2 2" xfId="4587"/>
    <cellStyle name="T_Me_Tri_6_07_KH TPCP vung TNB (03-1-2012) 3" xfId="4588"/>
    <cellStyle name="T_N2 thay dat (N1-1)" xfId="4589"/>
    <cellStyle name="T_N2 thay dat (N1-1) 2" xfId="4590"/>
    <cellStyle name="T_N2 thay dat (N1-1) 2 2" xfId="4591"/>
    <cellStyle name="T_N2 thay dat (N1-1) 3" xfId="4592"/>
    <cellStyle name="T_N2 thay dat (N1-1)_!1 1 bao cao giao KH ve HTCMT vung TNB   12-12-2011" xfId="4593"/>
    <cellStyle name="T_N2 thay dat (N1-1)_!1 1 bao cao giao KH ve HTCMT vung TNB   12-12-2011 2" xfId="4594"/>
    <cellStyle name="T_N2 thay dat (N1-1)_!1 1 bao cao giao KH ve HTCMT vung TNB   12-12-2011 2 2" xfId="4595"/>
    <cellStyle name="T_N2 thay dat (N1-1)_!1 1 bao cao giao KH ve HTCMT vung TNB   12-12-2011 3" xfId="4596"/>
    <cellStyle name="T_N2 thay dat (N1-1)_Bieu4HTMT" xfId="4597"/>
    <cellStyle name="T_N2 thay dat (N1-1)_Bieu4HTMT 2" xfId="4598"/>
    <cellStyle name="T_N2 thay dat (N1-1)_Bieu4HTMT 2 2" xfId="4599"/>
    <cellStyle name="T_N2 thay dat (N1-1)_Bieu4HTMT 3" xfId="4600"/>
    <cellStyle name="T_N2 thay dat (N1-1)_Bieu4HTMT_!1 1 bao cao giao KH ve HTCMT vung TNB   12-12-2011" xfId="4601"/>
    <cellStyle name="T_N2 thay dat (N1-1)_Bieu4HTMT_!1 1 bao cao giao KH ve HTCMT vung TNB   12-12-2011 2" xfId="4602"/>
    <cellStyle name="T_N2 thay dat (N1-1)_Bieu4HTMT_!1 1 bao cao giao KH ve HTCMT vung TNB   12-12-2011 2 2" xfId="4603"/>
    <cellStyle name="T_N2 thay dat (N1-1)_Bieu4HTMT_!1 1 bao cao giao KH ve HTCMT vung TNB   12-12-2011 3" xfId="4604"/>
    <cellStyle name="T_N2 thay dat (N1-1)_Bieu4HTMT_KH TPCP vung TNB (03-1-2012)" xfId="4605"/>
    <cellStyle name="T_N2 thay dat (N1-1)_Bieu4HTMT_KH TPCP vung TNB (03-1-2012) 2" xfId="4606"/>
    <cellStyle name="T_N2 thay dat (N1-1)_Bieu4HTMT_KH TPCP vung TNB (03-1-2012) 2 2" xfId="4607"/>
    <cellStyle name="T_N2 thay dat (N1-1)_Bieu4HTMT_KH TPCP vung TNB (03-1-2012) 3" xfId="4608"/>
    <cellStyle name="T_N2 thay dat (N1-1)_KH TPCP vung TNB (03-1-2012)" xfId="4609"/>
    <cellStyle name="T_N2 thay dat (N1-1)_KH TPCP vung TNB (03-1-2012) 2" xfId="4610"/>
    <cellStyle name="T_N2 thay dat (N1-1)_KH TPCP vung TNB (03-1-2012) 2 2" xfId="4611"/>
    <cellStyle name="T_N2 thay dat (N1-1)_KH TPCP vung TNB (03-1-2012) 3" xfId="4612"/>
    <cellStyle name="T_Phuong an can doi nam 2008" xfId="4613"/>
    <cellStyle name="T_Phuong an can doi nam 2008 2" xfId="4614"/>
    <cellStyle name="T_Phuong an can doi nam 2008 2 2" xfId="4615"/>
    <cellStyle name="T_Phuong an can doi nam 2008 3" xfId="4616"/>
    <cellStyle name="T_Phuong an can doi nam 2008_!1 1 bao cao giao KH ve HTCMT vung TNB   12-12-2011" xfId="4617"/>
    <cellStyle name="T_Phuong an can doi nam 2008_!1 1 bao cao giao KH ve HTCMT vung TNB   12-12-2011 2" xfId="4618"/>
    <cellStyle name="T_Phuong an can doi nam 2008_!1 1 bao cao giao KH ve HTCMT vung TNB   12-12-2011 2 2" xfId="4619"/>
    <cellStyle name="T_Phuong an can doi nam 2008_!1 1 bao cao giao KH ve HTCMT vung TNB   12-12-2011 3" xfId="4620"/>
    <cellStyle name="T_Phuong an can doi nam 2008_KH TPCP vung TNB (03-1-2012)" xfId="4621"/>
    <cellStyle name="T_Phuong an can doi nam 2008_KH TPCP vung TNB (03-1-2012) 2" xfId="4622"/>
    <cellStyle name="T_Phuong an can doi nam 2008_KH TPCP vung TNB (03-1-2012) 2 2" xfId="4623"/>
    <cellStyle name="T_Phuong an can doi nam 2008_KH TPCP vung TNB (03-1-2012) 3" xfId="4624"/>
    <cellStyle name="T_Seagame(BTL)" xfId="4625"/>
    <cellStyle name="T_Seagame(BTL) 2" xfId="4626"/>
    <cellStyle name="T_Seagame(BTL) 2 2" xfId="4627"/>
    <cellStyle name="T_Seagame(BTL) 3" xfId="4628"/>
    <cellStyle name="T_So GTVT" xfId="4629"/>
    <cellStyle name="T_So GTVT 2" xfId="4630"/>
    <cellStyle name="T_So GTVT 2 2" xfId="4631"/>
    <cellStyle name="T_So GTVT 3" xfId="4632"/>
    <cellStyle name="T_So GTVT_!1 1 bao cao giao KH ve HTCMT vung TNB   12-12-2011" xfId="4633"/>
    <cellStyle name="T_So GTVT_!1 1 bao cao giao KH ve HTCMT vung TNB   12-12-2011 2" xfId="4634"/>
    <cellStyle name="T_So GTVT_!1 1 bao cao giao KH ve HTCMT vung TNB   12-12-2011 2 2" xfId="4635"/>
    <cellStyle name="T_So GTVT_!1 1 bao cao giao KH ve HTCMT vung TNB   12-12-2011 3" xfId="4636"/>
    <cellStyle name="T_So GTVT_KH TPCP vung TNB (03-1-2012)" xfId="4637"/>
    <cellStyle name="T_So GTVT_KH TPCP vung TNB (03-1-2012) 2" xfId="4638"/>
    <cellStyle name="T_So GTVT_KH TPCP vung TNB (03-1-2012) 2 2" xfId="4639"/>
    <cellStyle name="T_So GTVT_KH TPCP vung TNB (03-1-2012) 3" xfId="4640"/>
    <cellStyle name="T_tai co cau dau tu (tong hop)1" xfId="4641"/>
    <cellStyle name="T_tai co cau dau tu (tong hop)1 2" xfId="4642"/>
    <cellStyle name="T_TDT + duong(8-5-07)" xfId="4643"/>
    <cellStyle name="T_TDT + duong(8-5-07) 2" xfId="4644"/>
    <cellStyle name="T_TDT + duong(8-5-07) 2 2" xfId="4645"/>
    <cellStyle name="T_TDT + duong(8-5-07) 3" xfId="4646"/>
    <cellStyle name="T_TDT + duong(8-5-07)_!1 1 bao cao giao KH ve HTCMT vung TNB   12-12-2011" xfId="4647"/>
    <cellStyle name="T_TDT + duong(8-5-07)_!1 1 bao cao giao KH ve HTCMT vung TNB   12-12-2011 2" xfId="4648"/>
    <cellStyle name="T_TDT + duong(8-5-07)_!1 1 bao cao giao KH ve HTCMT vung TNB   12-12-2011 2 2" xfId="4649"/>
    <cellStyle name="T_TDT + duong(8-5-07)_!1 1 bao cao giao KH ve HTCMT vung TNB   12-12-2011 3" xfId="4650"/>
    <cellStyle name="T_TDT + duong(8-5-07)_Bieu4HTMT" xfId="4651"/>
    <cellStyle name="T_TDT + duong(8-5-07)_Bieu4HTMT 2" xfId="4652"/>
    <cellStyle name="T_TDT + duong(8-5-07)_Bieu4HTMT 2 2" xfId="4653"/>
    <cellStyle name="T_TDT + duong(8-5-07)_Bieu4HTMT 3" xfId="4654"/>
    <cellStyle name="T_TDT + duong(8-5-07)_Bieu4HTMT_!1 1 bao cao giao KH ve HTCMT vung TNB   12-12-2011" xfId="4655"/>
    <cellStyle name="T_TDT + duong(8-5-07)_Bieu4HTMT_!1 1 bao cao giao KH ve HTCMT vung TNB   12-12-2011 2" xfId="4656"/>
    <cellStyle name="T_TDT + duong(8-5-07)_Bieu4HTMT_!1 1 bao cao giao KH ve HTCMT vung TNB   12-12-2011 2 2" xfId="4657"/>
    <cellStyle name="T_TDT + duong(8-5-07)_Bieu4HTMT_!1 1 bao cao giao KH ve HTCMT vung TNB   12-12-2011 3" xfId="4658"/>
    <cellStyle name="T_TDT + duong(8-5-07)_Bieu4HTMT_KH TPCP vung TNB (03-1-2012)" xfId="4659"/>
    <cellStyle name="T_TDT + duong(8-5-07)_Bieu4HTMT_KH TPCP vung TNB (03-1-2012) 2" xfId="4660"/>
    <cellStyle name="T_TDT + duong(8-5-07)_Bieu4HTMT_KH TPCP vung TNB (03-1-2012) 2 2" xfId="4661"/>
    <cellStyle name="T_TDT + duong(8-5-07)_Bieu4HTMT_KH TPCP vung TNB (03-1-2012) 3" xfId="4662"/>
    <cellStyle name="T_TDT + duong(8-5-07)_KH TPCP vung TNB (03-1-2012)" xfId="4663"/>
    <cellStyle name="T_TDT + duong(8-5-07)_KH TPCP vung TNB (03-1-2012) 2" xfId="4664"/>
    <cellStyle name="T_TDT + duong(8-5-07)_KH TPCP vung TNB (03-1-2012) 2 2" xfId="4665"/>
    <cellStyle name="T_TDT + duong(8-5-07)_KH TPCP vung TNB (03-1-2012) 3" xfId="4666"/>
    <cellStyle name="T_tham_tra_du_toan" xfId="4667"/>
    <cellStyle name="T_tham_tra_du_toan 2" xfId="4668"/>
    <cellStyle name="T_tham_tra_du_toan 2 2" xfId="4669"/>
    <cellStyle name="T_tham_tra_du_toan 3" xfId="4670"/>
    <cellStyle name="T_tham_tra_du_toan_!1 1 bao cao giao KH ve HTCMT vung TNB   12-12-2011" xfId="4671"/>
    <cellStyle name="T_tham_tra_du_toan_!1 1 bao cao giao KH ve HTCMT vung TNB   12-12-2011 2" xfId="4672"/>
    <cellStyle name="T_tham_tra_du_toan_!1 1 bao cao giao KH ve HTCMT vung TNB   12-12-2011 2 2" xfId="4673"/>
    <cellStyle name="T_tham_tra_du_toan_!1 1 bao cao giao KH ve HTCMT vung TNB   12-12-2011 3" xfId="4674"/>
    <cellStyle name="T_tham_tra_du_toan_Bieu4HTMT" xfId="4675"/>
    <cellStyle name="T_tham_tra_du_toan_Bieu4HTMT 2" xfId="4676"/>
    <cellStyle name="T_tham_tra_du_toan_Bieu4HTMT 2 2" xfId="4677"/>
    <cellStyle name="T_tham_tra_du_toan_Bieu4HTMT 3" xfId="4678"/>
    <cellStyle name="T_tham_tra_du_toan_Bieu4HTMT_!1 1 bao cao giao KH ve HTCMT vung TNB   12-12-2011" xfId="4679"/>
    <cellStyle name="T_tham_tra_du_toan_Bieu4HTMT_!1 1 bao cao giao KH ve HTCMT vung TNB   12-12-2011 2" xfId="4680"/>
    <cellStyle name="T_tham_tra_du_toan_Bieu4HTMT_!1 1 bao cao giao KH ve HTCMT vung TNB   12-12-2011 2 2" xfId="4681"/>
    <cellStyle name="T_tham_tra_du_toan_Bieu4HTMT_!1 1 bao cao giao KH ve HTCMT vung TNB   12-12-2011 3" xfId="4682"/>
    <cellStyle name="T_tham_tra_du_toan_Bieu4HTMT_KH TPCP vung TNB (03-1-2012)" xfId="4683"/>
    <cellStyle name="T_tham_tra_du_toan_Bieu4HTMT_KH TPCP vung TNB (03-1-2012) 2" xfId="4684"/>
    <cellStyle name="T_tham_tra_du_toan_Bieu4HTMT_KH TPCP vung TNB (03-1-2012) 2 2" xfId="4685"/>
    <cellStyle name="T_tham_tra_du_toan_Bieu4HTMT_KH TPCP vung TNB (03-1-2012) 3" xfId="4686"/>
    <cellStyle name="T_tham_tra_du_toan_KH TPCP vung TNB (03-1-2012)" xfId="4687"/>
    <cellStyle name="T_tham_tra_du_toan_KH TPCP vung TNB (03-1-2012) 2" xfId="4688"/>
    <cellStyle name="T_tham_tra_du_toan_KH TPCP vung TNB (03-1-2012) 2 2" xfId="4689"/>
    <cellStyle name="T_tham_tra_du_toan_KH TPCP vung TNB (03-1-2012) 3" xfId="4690"/>
    <cellStyle name="T_Thiet bi" xfId="4691"/>
    <cellStyle name="T_Thiet bi 2" xfId="4692"/>
    <cellStyle name="T_Thiet bi 2 2" xfId="4693"/>
    <cellStyle name="T_Thiet bi 3" xfId="4694"/>
    <cellStyle name="T_Thiet bi_!1 1 bao cao giao KH ve HTCMT vung TNB   12-12-2011" xfId="4695"/>
    <cellStyle name="T_Thiet bi_!1 1 bao cao giao KH ve HTCMT vung TNB   12-12-2011 2" xfId="4696"/>
    <cellStyle name="T_Thiet bi_!1 1 bao cao giao KH ve HTCMT vung TNB   12-12-2011 2 2" xfId="4697"/>
    <cellStyle name="T_Thiet bi_!1 1 bao cao giao KH ve HTCMT vung TNB   12-12-2011 3" xfId="4698"/>
    <cellStyle name="T_Thiet bi_Bieu4HTMT" xfId="4699"/>
    <cellStyle name="T_Thiet bi_Bieu4HTMT 2" xfId="4700"/>
    <cellStyle name="T_Thiet bi_Bieu4HTMT 2 2" xfId="4701"/>
    <cellStyle name="T_Thiet bi_Bieu4HTMT 3" xfId="4702"/>
    <cellStyle name="T_Thiet bi_Bieu4HTMT_!1 1 bao cao giao KH ve HTCMT vung TNB   12-12-2011" xfId="4703"/>
    <cellStyle name="T_Thiet bi_Bieu4HTMT_!1 1 bao cao giao KH ve HTCMT vung TNB   12-12-2011 2" xfId="4704"/>
    <cellStyle name="T_Thiet bi_Bieu4HTMT_!1 1 bao cao giao KH ve HTCMT vung TNB   12-12-2011 2 2" xfId="4705"/>
    <cellStyle name="T_Thiet bi_Bieu4HTMT_!1 1 bao cao giao KH ve HTCMT vung TNB   12-12-2011 3" xfId="4706"/>
    <cellStyle name="T_Thiet bi_Bieu4HTMT_KH TPCP vung TNB (03-1-2012)" xfId="4707"/>
    <cellStyle name="T_Thiet bi_Bieu4HTMT_KH TPCP vung TNB (03-1-2012) 2" xfId="4708"/>
    <cellStyle name="T_Thiet bi_Bieu4HTMT_KH TPCP vung TNB (03-1-2012) 2 2" xfId="4709"/>
    <cellStyle name="T_Thiet bi_Bieu4HTMT_KH TPCP vung TNB (03-1-2012) 3" xfId="4710"/>
    <cellStyle name="T_Thiet bi_KH TPCP vung TNB (03-1-2012)" xfId="4711"/>
    <cellStyle name="T_Thiet bi_KH TPCP vung TNB (03-1-2012) 2" xfId="4712"/>
    <cellStyle name="T_Thiet bi_KH TPCP vung TNB (03-1-2012) 2 2" xfId="4713"/>
    <cellStyle name="T_Thiet bi_KH TPCP vung TNB (03-1-2012) 3" xfId="4714"/>
    <cellStyle name="T_TK_HT" xfId="4715"/>
    <cellStyle name="T_TK_HT 2" xfId="4716"/>
    <cellStyle name="T_TK_HT 2 2" xfId="4717"/>
    <cellStyle name="T_TK_HT 3" xfId="4718"/>
    <cellStyle name="T_Van Ban 2007" xfId="4719"/>
    <cellStyle name="T_Van Ban 2007 2" xfId="4720"/>
    <cellStyle name="T_Van Ban 2007_15_10_2013 BC nhu cau von doi ung ODA (2014-2016) ngay 15102013 Sua" xfId="4721"/>
    <cellStyle name="T_Van Ban 2007_15_10_2013 BC nhu cau von doi ung ODA (2014-2016) ngay 15102013 Sua 2" xfId="4722"/>
    <cellStyle name="T_Van Ban 2007_bao cao phan bo KHDT 2011(final)" xfId="4723"/>
    <cellStyle name="T_Van Ban 2007_bao cao phan bo KHDT 2011(final) 2" xfId="4724"/>
    <cellStyle name="T_Van Ban 2007_bao cao phan bo KHDT 2011(final)_BC nhu cau von doi ung ODA nganh NN (BKH)" xfId="4725"/>
    <cellStyle name="T_Van Ban 2007_bao cao phan bo KHDT 2011(final)_BC nhu cau von doi ung ODA nganh NN (BKH) 2" xfId="4726"/>
    <cellStyle name="T_Van Ban 2007_bao cao phan bo KHDT 2011(final)_BC Tai co cau (bieu TH)" xfId="4727"/>
    <cellStyle name="T_Van Ban 2007_bao cao phan bo KHDT 2011(final)_BC Tai co cau (bieu TH) 2" xfId="4728"/>
    <cellStyle name="T_Van Ban 2007_bao cao phan bo KHDT 2011(final)_DK 2014-2015 final" xfId="4729"/>
    <cellStyle name="T_Van Ban 2007_bao cao phan bo KHDT 2011(final)_DK 2014-2015 final 2" xfId="4730"/>
    <cellStyle name="T_Van Ban 2007_bao cao phan bo KHDT 2011(final)_DK 2014-2015 new" xfId="4731"/>
    <cellStyle name="T_Van Ban 2007_bao cao phan bo KHDT 2011(final)_DK 2014-2015 new 2" xfId="4732"/>
    <cellStyle name="T_Van Ban 2007_bao cao phan bo KHDT 2011(final)_DK KH CBDT 2014 11-11-2013" xfId="4733"/>
    <cellStyle name="T_Van Ban 2007_bao cao phan bo KHDT 2011(final)_DK KH CBDT 2014 11-11-2013 2" xfId="4734"/>
    <cellStyle name="T_Van Ban 2007_bao cao phan bo KHDT 2011(final)_DK KH CBDT 2014 11-11-2013(1)" xfId="4735"/>
    <cellStyle name="T_Van Ban 2007_bao cao phan bo KHDT 2011(final)_DK KH CBDT 2014 11-11-2013(1) 2" xfId="4736"/>
    <cellStyle name="T_Van Ban 2007_bao cao phan bo KHDT 2011(final)_KH 2011-2015" xfId="4737"/>
    <cellStyle name="T_Van Ban 2007_bao cao phan bo KHDT 2011(final)_KH 2011-2015 2" xfId="4738"/>
    <cellStyle name="T_Van Ban 2007_bao cao phan bo KHDT 2011(final)_tai co cau dau tu (tong hop)1" xfId="4739"/>
    <cellStyle name="T_Van Ban 2007_bao cao phan bo KHDT 2011(final)_tai co cau dau tu (tong hop)1 2" xfId="4740"/>
    <cellStyle name="T_Van Ban 2007_BC nhu cau von doi ung ODA nganh NN (BKH)" xfId="4741"/>
    <cellStyle name="T_Van Ban 2007_BC nhu cau von doi ung ODA nganh NN (BKH) 2" xfId="4742"/>
    <cellStyle name="T_Van Ban 2007_BC nhu cau von doi ung ODA nganh NN (BKH)_05-12  KH trung han 2016-2020 - Liem Thinh edited" xfId="4743"/>
    <cellStyle name="T_Van Ban 2007_BC nhu cau von doi ung ODA nganh NN (BKH)_05-12  KH trung han 2016-2020 - Liem Thinh edited 2" xfId="4744"/>
    <cellStyle name="T_Van Ban 2007_BC nhu cau von doi ung ODA nganh NN (BKH)_Copy of 05-12  KH trung han 2016-2020 - Liem Thinh edited (1)" xfId="4745"/>
    <cellStyle name="T_Van Ban 2007_BC nhu cau von doi ung ODA nganh NN (BKH)_Copy of 05-12  KH trung han 2016-2020 - Liem Thinh edited (1) 2" xfId="4746"/>
    <cellStyle name="T_Van Ban 2007_BC Tai co cau (bieu TH)" xfId="4747"/>
    <cellStyle name="T_Van Ban 2007_BC Tai co cau (bieu TH) 2" xfId="4748"/>
    <cellStyle name="T_Van Ban 2007_BC Tai co cau (bieu TH)_05-12  KH trung han 2016-2020 - Liem Thinh edited" xfId="4749"/>
    <cellStyle name="T_Van Ban 2007_BC Tai co cau (bieu TH)_05-12  KH trung han 2016-2020 - Liem Thinh edited 2" xfId="4750"/>
    <cellStyle name="T_Van Ban 2007_BC Tai co cau (bieu TH)_Copy of 05-12  KH trung han 2016-2020 - Liem Thinh edited (1)" xfId="4751"/>
    <cellStyle name="T_Van Ban 2007_BC Tai co cau (bieu TH)_Copy of 05-12  KH trung han 2016-2020 - Liem Thinh edited (1) 2" xfId="4752"/>
    <cellStyle name="T_Van Ban 2007_DK 2014-2015 final" xfId="4753"/>
    <cellStyle name="T_Van Ban 2007_DK 2014-2015 final 2" xfId="4754"/>
    <cellStyle name="T_Van Ban 2007_DK 2014-2015 final_05-12  KH trung han 2016-2020 - Liem Thinh edited" xfId="4755"/>
    <cellStyle name="T_Van Ban 2007_DK 2014-2015 final_05-12  KH trung han 2016-2020 - Liem Thinh edited 2" xfId="4756"/>
    <cellStyle name="T_Van Ban 2007_DK 2014-2015 final_Copy of 05-12  KH trung han 2016-2020 - Liem Thinh edited (1)" xfId="4757"/>
    <cellStyle name="T_Van Ban 2007_DK 2014-2015 final_Copy of 05-12  KH trung han 2016-2020 - Liem Thinh edited (1) 2" xfId="4758"/>
    <cellStyle name="T_Van Ban 2007_DK 2014-2015 new" xfId="4759"/>
    <cellStyle name="T_Van Ban 2007_DK 2014-2015 new 2" xfId="4760"/>
    <cellStyle name="T_Van Ban 2007_DK 2014-2015 new_05-12  KH trung han 2016-2020 - Liem Thinh edited" xfId="4761"/>
    <cellStyle name="T_Van Ban 2007_DK 2014-2015 new_05-12  KH trung han 2016-2020 - Liem Thinh edited 2" xfId="4762"/>
    <cellStyle name="T_Van Ban 2007_DK 2014-2015 new_Copy of 05-12  KH trung han 2016-2020 - Liem Thinh edited (1)" xfId="4763"/>
    <cellStyle name="T_Van Ban 2007_DK 2014-2015 new_Copy of 05-12  KH trung han 2016-2020 - Liem Thinh edited (1) 2" xfId="4764"/>
    <cellStyle name="T_Van Ban 2007_DK KH CBDT 2014 11-11-2013" xfId="4765"/>
    <cellStyle name="T_Van Ban 2007_DK KH CBDT 2014 11-11-2013 2" xfId="4766"/>
    <cellStyle name="T_Van Ban 2007_DK KH CBDT 2014 11-11-2013(1)" xfId="4767"/>
    <cellStyle name="T_Van Ban 2007_DK KH CBDT 2014 11-11-2013(1) 2" xfId="4768"/>
    <cellStyle name="T_Van Ban 2007_DK KH CBDT 2014 11-11-2013(1)_05-12  KH trung han 2016-2020 - Liem Thinh edited" xfId="4769"/>
    <cellStyle name="T_Van Ban 2007_DK KH CBDT 2014 11-11-2013(1)_05-12  KH trung han 2016-2020 - Liem Thinh edited 2" xfId="4770"/>
    <cellStyle name="T_Van Ban 2007_DK KH CBDT 2014 11-11-2013(1)_Copy of 05-12  KH trung han 2016-2020 - Liem Thinh edited (1)" xfId="4771"/>
    <cellStyle name="T_Van Ban 2007_DK KH CBDT 2014 11-11-2013(1)_Copy of 05-12  KH trung han 2016-2020 - Liem Thinh edited (1) 2" xfId="4772"/>
    <cellStyle name="T_Van Ban 2007_DK KH CBDT 2014 11-11-2013_05-12  KH trung han 2016-2020 - Liem Thinh edited" xfId="4773"/>
    <cellStyle name="T_Van Ban 2007_DK KH CBDT 2014 11-11-2013_05-12  KH trung han 2016-2020 - Liem Thinh edited 2" xfId="4774"/>
    <cellStyle name="T_Van Ban 2007_DK KH CBDT 2014 11-11-2013_Copy of 05-12  KH trung han 2016-2020 - Liem Thinh edited (1)" xfId="4775"/>
    <cellStyle name="T_Van Ban 2007_DK KH CBDT 2014 11-11-2013_Copy of 05-12  KH trung han 2016-2020 - Liem Thinh edited (1) 2" xfId="4776"/>
    <cellStyle name="T_Van Ban 2008" xfId="4777"/>
    <cellStyle name="T_Van Ban 2008 2" xfId="4778"/>
    <cellStyle name="T_Van Ban 2008_15_10_2013 BC nhu cau von doi ung ODA (2014-2016) ngay 15102013 Sua" xfId="4779"/>
    <cellStyle name="T_Van Ban 2008_15_10_2013 BC nhu cau von doi ung ODA (2014-2016) ngay 15102013 Sua 2" xfId="4780"/>
    <cellStyle name="T_Van Ban 2008_bao cao phan bo KHDT 2011(final)" xfId="4781"/>
    <cellStyle name="T_Van Ban 2008_bao cao phan bo KHDT 2011(final) 2" xfId="4782"/>
    <cellStyle name="T_Van Ban 2008_bao cao phan bo KHDT 2011(final)_BC nhu cau von doi ung ODA nganh NN (BKH)" xfId="4783"/>
    <cellStyle name="T_Van Ban 2008_bao cao phan bo KHDT 2011(final)_BC nhu cau von doi ung ODA nganh NN (BKH) 2" xfId="4784"/>
    <cellStyle name="T_Van Ban 2008_bao cao phan bo KHDT 2011(final)_BC Tai co cau (bieu TH)" xfId="4785"/>
    <cellStyle name="T_Van Ban 2008_bao cao phan bo KHDT 2011(final)_BC Tai co cau (bieu TH) 2" xfId="4786"/>
    <cellStyle name="T_Van Ban 2008_bao cao phan bo KHDT 2011(final)_DK 2014-2015 final" xfId="4787"/>
    <cellStyle name="T_Van Ban 2008_bao cao phan bo KHDT 2011(final)_DK 2014-2015 final 2" xfId="4788"/>
    <cellStyle name="T_Van Ban 2008_bao cao phan bo KHDT 2011(final)_DK 2014-2015 new" xfId="4789"/>
    <cellStyle name="T_Van Ban 2008_bao cao phan bo KHDT 2011(final)_DK 2014-2015 new 2" xfId="4790"/>
    <cellStyle name="T_Van Ban 2008_bao cao phan bo KHDT 2011(final)_DK KH CBDT 2014 11-11-2013" xfId="4791"/>
    <cellStyle name="T_Van Ban 2008_bao cao phan bo KHDT 2011(final)_DK KH CBDT 2014 11-11-2013 2" xfId="4792"/>
    <cellStyle name="T_Van Ban 2008_bao cao phan bo KHDT 2011(final)_DK KH CBDT 2014 11-11-2013(1)" xfId="4793"/>
    <cellStyle name="T_Van Ban 2008_bao cao phan bo KHDT 2011(final)_DK KH CBDT 2014 11-11-2013(1) 2" xfId="4794"/>
    <cellStyle name="T_Van Ban 2008_bao cao phan bo KHDT 2011(final)_KH 2011-2015" xfId="4795"/>
    <cellStyle name="T_Van Ban 2008_bao cao phan bo KHDT 2011(final)_KH 2011-2015 2" xfId="4796"/>
    <cellStyle name="T_Van Ban 2008_bao cao phan bo KHDT 2011(final)_tai co cau dau tu (tong hop)1" xfId="4797"/>
    <cellStyle name="T_Van Ban 2008_bao cao phan bo KHDT 2011(final)_tai co cau dau tu (tong hop)1 2" xfId="4798"/>
    <cellStyle name="T_Van Ban 2008_BC nhu cau von doi ung ODA nganh NN (BKH)" xfId="4799"/>
    <cellStyle name="T_Van Ban 2008_BC nhu cau von doi ung ODA nganh NN (BKH) 2" xfId="4800"/>
    <cellStyle name="T_Van Ban 2008_BC nhu cau von doi ung ODA nganh NN (BKH)_05-12  KH trung han 2016-2020 - Liem Thinh edited" xfId="4801"/>
    <cellStyle name="T_Van Ban 2008_BC nhu cau von doi ung ODA nganh NN (BKH)_05-12  KH trung han 2016-2020 - Liem Thinh edited 2" xfId="4802"/>
    <cellStyle name="T_Van Ban 2008_BC nhu cau von doi ung ODA nganh NN (BKH)_Copy of 05-12  KH trung han 2016-2020 - Liem Thinh edited (1)" xfId="4803"/>
    <cellStyle name="T_Van Ban 2008_BC nhu cau von doi ung ODA nganh NN (BKH)_Copy of 05-12  KH trung han 2016-2020 - Liem Thinh edited (1) 2" xfId="4804"/>
    <cellStyle name="T_Van Ban 2008_BC Tai co cau (bieu TH)" xfId="4805"/>
    <cellStyle name="T_Van Ban 2008_BC Tai co cau (bieu TH) 2" xfId="4806"/>
    <cellStyle name="T_Van Ban 2008_BC Tai co cau (bieu TH)_05-12  KH trung han 2016-2020 - Liem Thinh edited" xfId="4807"/>
    <cellStyle name="T_Van Ban 2008_BC Tai co cau (bieu TH)_05-12  KH trung han 2016-2020 - Liem Thinh edited 2" xfId="4808"/>
    <cellStyle name="T_Van Ban 2008_BC Tai co cau (bieu TH)_Copy of 05-12  KH trung han 2016-2020 - Liem Thinh edited (1)" xfId="4809"/>
    <cellStyle name="T_Van Ban 2008_BC Tai co cau (bieu TH)_Copy of 05-12  KH trung han 2016-2020 - Liem Thinh edited (1) 2" xfId="4810"/>
    <cellStyle name="T_Van Ban 2008_DK 2014-2015 final" xfId="4811"/>
    <cellStyle name="T_Van Ban 2008_DK 2014-2015 final 2" xfId="4812"/>
    <cellStyle name="T_Van Ban 2008_DK 2014-2015 final_05-12  KH trung han 2016-2020 - Liem Thinh edited" xfId="4813"/>
    <cellStyle name="T_Van Ban 2008_DK 2014-2015 final_05-12  KH trung han 2016-2020 - Liem Thinh edited 2" xfId="4814"/>
    <cellStyle name="T_Van Ban 2008_DK 2014-2015 final_Copy of 05-12  KH trung han 2016-2020 - Liem Thinh edited (1)" xfId="4815"/>
    <cellStyle name="T_Van Ban 2008_DK 2014-2015 final_Copy of 05-12  KH trung han 2016-2020 - Liem Thinh edited (1) 2" xfId="4816"/>
    <cellStyle name="T_Van Ban 2008_DK 2014-2015 new" xfId="4817"/>
    <cellStyle name="T_Van Ban 2008_DK 2014-2015 new 2" xfId="4818"/>
    <cellStyle name="T_Van Ban 2008_DK 2014-2015 new_05-12  KH trung han 2016-2020 - Liem Thinh edited" xfId="4819"/>
    <cellStyle name="T_Van Ban 2008_DK 2014-2015 new_05-12  KH trung han 2016-2020 - Liem Thinh edited 2" xfId="4820"/>
    <cellStyle name="T_Van Ban 2008_DK 2014-2015 new_Copy of 05-12  KH trung han 2016-2020 - Liem Thinh edited (1)" xfId="4821"/>
    <cellStyle name="T_Van Ban 2008_DK 2014-2015 new_Copy of 05-12  KH trung han 2016-2020 - Liem Thinh edited (1) 2" xfId="4822"/>
    <cellStyle name="T_Van Ban 2008_DK KH CBDT 2014 11-11-2013" xfId="4823"/>
    <cellStyle name="T_Van Ban 2008_DK KH CBDT 2014 11-11-2013 2" xfId="4824"/>
    <cellStyle name="T_Van Ban 2008_DK KH CBDT 2014 11-11-2013(1)" xfId="4825"/>
    <cellStyle name="T_Van Ban 2008_DK KH CBDT 2014 11-11-2013(1) 2" xfId="4826"/>
    <cellStyle name="T_Van Ban 2008_DK KH CBDT 2014 11-11-2013(1)_05-12  KH trung han 2016-2020 - Liem Thinh edited" xfId="4827"/>
    <cellStyle name="T_Van Ban 2008_DK KH CBDT 2014 11-11-2013(1)_05-12  KH trung han 2016-2020 - Liem Thinh edited 2" xfId="4828"/>
    <cellStyle name="T_Van Ban 2008_DK KH CBDT 2014 11-11-2013(1)_Copy of 05-12  KH trung han 2016-2020 - Liem Thinh edited (1)" xfId="4829"/>
    <cellStyle name="T_Van Ban 2008_DK KH CBDT 2014 11-11-2013(1)_Copy of 05-12  KH trung han 2016-2020 - Liem Thinh edited (1) 2" xfId="4830"/>
    <cellStyle name="T_Van Ban 2008_DK KH CBDT 2014 11-11-2013_05-12  KH trung han 2016-2020 - Liem Thinh edited" xfId="4831"/>
    <cellStyle name="T_Van Ban 2008_DK KH CBDT 2014 11-11-2013_05-12  KH trung han 2016-2020 - Liem Thinh edited 2" xfId="4832"/>
    <cellStyle name="T_Van Ban 2008_DK KH CBDT 2014 11-11-2013_Copy of 05-12  KH trung han 2016-2020 - Liem Thinh edited (1)" xfId="4833"/>
    <cellStyle name="T_Van Ban 2008_DK KH CBDT 2014 11-11-2013_Copy of 05-12  KH trung han 2016-2020 - Liem Thinh edited (1) 2" xfId="4834"/>
    <cellStyle name="T_XDCB thang 12.2010" xfId="4835"/>
    <cellStyle name="T_XDCB thang 12.2010 2" xfId="4836"/>
    <cellStyle name="T_XDCB thang 12.2010 2 2" xfId="4837"/>
    <cellStyle name="T_XDCB thang 12.2010 3" xfId="4838"/>
    <cellStyle name="T_XDCB thang 12.2010_!1 1 bao cao giao KH ve HTCMT vung TNB   12-12-2011" xfId="4839"/>
    <cellStyle name="T_XDCB thang 12.2010_!1 1 bao cao giao KH ve HTCMT vung TNB   12-12-2011 2" xfId="4840"/>
    <cellStyle name="T_XDCB thang 12.2010_!1 1 bao cao giao KH ve HTCMT vung TNB   12-12-2011 2 2" xfId="4841"/>
    <cellStyle name="T_XDCB thang 12.2010_!1 1 bao cao giao KH ve HTCMT vung TNB   12-12-2011 3" xfId="4842"/>
    <cellStyle name="T_XDCB thang 12.2010_KH TPCP vung TNB (03-1-2012)" xfId="4843"/>
    <cellStyle name="T_XDCB thang 12.2010_KH TPCP vung TNB (03-1-2012) 2" xfId="4844"/>
    <cellStyle name="T_XDCB thang 12.2010_KH TPCP vung TNB (03-1-2012) 2 2" xfId="4845"/>
    <cellStyle name="T_XDCB thang 12.2010_KH TPCP vung TNB (03-1-2012) 3" xfId="4846"/>
    <cellStyle name="T_ÿÿÿÿÿ" xfId="4847"/>
    <cellStyle name="T_ÿÿÿÿÿ 2" xfId="4848"/>
    <cellStyle name="T_ÿÿÿÿÿ 2 2" xfId="4849"/>
    <cellStyle name="T_ÿÿÿÿÿ 3" xfId="4850"/>
    <cellStyle name="T_ÿÿÿÿÿ_!1 1 bao cao giao KH ve HTCMT vung TNB   12-12-2011" xfId="4851"/>
    <cellStyle name="T_ÿÿÿÿÿ_!1 1 bao cao giao KH ve HTCMT vung TNB   12-12-2011 2" xfId="4852"/>
    <cellStyle name="T_ÿÿÿÿÿ_!1 1 bao cao giao KH ve HTCMT vung TNB   12-12-2011 2 2" xfId="4853"/>
    <cellStyle name="T_ÿÿÿÿÿ_!1 1 bao cao giao KH ve HTCMT vung TNB   12-12-2011 3" xfId="4854"/>
    <cellStyle name="T_ÿÿÿÿÿ_Bieu mau cong trinh khoi cong moi 3-4" xfId="4855"/>
    <cellStyle name="T_ÿÿÿÿÿ_Bieu mau cong trinh khoi cong moi 3-4 2" xfId="4856"/>
    <cellStyle name="T_ÿÿÿÿÿ_Bieu mau cong trinh khoi cong moi 3-4 2 2" xfId="4857"/>
    <cellStyle name="T_ÿÿÿÿÿ_Bieu mau cong trinh khoi cong moi 3-4 3" xfId="4858"/>
    <cellStyle name="T_ÿÿÿÿÿ_Bieu mau cong trinh khoi cong moi 3-4_!1 1 bao cao giao KH ve HTCMT vung TNB   12-12-2011" xfId="4859"/>
    <cellStyle name="T_ÿÿÿÿÿ_Bieu mau cong trinh khoi cong moi 3-4_!1 1 bao cao giao KH ve HTCMT vung TNB   12-12-2011 2" xfId="4860"/>
    <cellStyle name="T_ÿÿÿÿÿ_Bieu mau cong trinh khoi cong moi 3-4_!1 1 bao cao giao KH ve HTCMT vung TNB   12-12-2011 2 2" xfId="4861"/>
    <cellStyle name="T_ÿÿÿÿÿ_Bieu mau cong trinh khoi cong moi 3-4_!1 1 bao cao giao KH ve HTCMT vung TNB   12-12-2011 3" xfId="4862"/>
    <cellStyle name="T_ÿÿÿÿÿ_Bieu mau cong trinh khoi cong moi 3-4_KH TPCP vung TNB (03-1-2012)" xfId="4863"/>
    <cellStyle name="T_ÿÿÿÿÿ_Bieu mau cong trinh khoi cong moi 3-4_KH TPCP vung TNB (03-1-2012) 2" xfId="4864"/>
    <cellStyle name="T_ÿÿÿÿÿ_Bieu mau cong trinh khoi cong moi 3-4_KH TPCP vung TNB (03-1-2012) 2 2" xfId="4865"/>
    <cellStyle name="T_ÿÿÿÿÿ_Bieu mau cong trinh khoi cong moi 3-4_KH TPCP vung TNB (03-1-2012) 3" xfId="4866"/>
    <cellStyle name="T_ÿÿÿÿÿ_Bieu3ODA" xfId="4867"/>
    <cellStyle name="T_ÿÿÿÿÿ_Bieu3ODA 2" xfId="4868"/>
    <cellStyle name="T_ÿÿÿÿÿ_Bieu3ODA 2 2" xfId="4869"/>
    <cellStyle name="T_ÿÿÿÿÿ_Bieu3ODA 3" xfId="4870"/>
    <cellStyle name="T_ÿÿÿÿÿ_Bieu3ODA_!1 1 bao cao giao KH ve HTCMT vung TNB   12-12-2011" xfId="4871"/>
    <cellStyle name="T_ÿÿÿÿÿ_Bieu3ODA_!1 1 bao cao giao KH ve HTCMT vung TNB   12-12-2011 2" xfId="4872"/>
    <cellStyle name="T_ÿÿÿÿÿ_Bieu3ODA_!1 1 bao cao giao KH ve HTCMT vung TNB   12-12-2011 2 2" xfId="4873"/>
    <cellStyle name="T_ÿÿÿÿÿ_Bieu3ODA_!1 1 bao cao giao KH ve HTCMT vung TNB   12-12-2011 3" xfId="4874"/>
    <cellStyle name="T_ÿÿÿÿÿ_Bieu3ODA_KH TPCP vung TNB (03-1-2012)" xfId="4875"/>
    <cellStyle name="T_ÿÿÿÿÿ_Bieu3ODA_KH TPCP vung TNB (03-1-2012) 2" xfId="4876"/>
    <cellStyle name="T_ÿÿÿÿÿ_Bieu3ODA_KH TPCP vung TNB (03-1-2012) 2 2" xfId="4877"/>
    <cellStyle name="T_ÿÿÿÿÿ_Bieu3ODA_KH TPCP vung TNB (03-1-2012) 3" xfId="4878"/>
    <cellStyle name="T_ÿÿÿÿÿ_Bieu4HTMT" xfId="4879"/>
    <cellStyle name="T_ÿÿÿÿÿ_Bieu4HTMT 2" xfId="4880"/>
    <cellStyle name="T_ÿÿÿÿÿ_Bieu4HTMT 2 2" xfId="4881"/>
    <cellStyle name="T_ÿÿÿÿÿ_Bieu4HTMT 3" xfId="4882"/>
    <cellStyle name="T_ÿÿÿÿÿ_Bieu4HTMT_!1 1 bao cao giao KH ve HTCMT vung TNB   12-12-2011" xfId="4883"/>
    <cellStyle name="T_ÿÿÿÿÿ_Bieu4HTMT_!1 1 bao cao giao KH ve HTCMT vung TNB   12-12-2011 2" xfId="4884"/>
    <cellStyle name="T_ÿÿÿÿÿ_Bieu4HTMT_!1 1 bao cao giao KH ve HTCMT vung TNB   12-12-2011 2 2" xfId="4885"/>
    <cellStyle name="T_ÿÿÿÿÿ_Bieu4HTMT_!1 1 bao cao giao KH ve HTCMT vung TNB   12-12-2011 3" xfId="4886"/>
    <cellStyle name="T_ÿÿÿÿÿ_Bieu4HTMT_KH TPCP vung TNB (03-1-2012)" xfId="4887"/>
    <cellStyle name="T_ÿÿÿÿÿ_Bieu4HTMT_KH TPCP vung TNB (03-1-2012) 2" xfId="4888"/>
    <cellStyle name="T_ÿÿÿÿÿ_Bieu4HTMT_KH TPCP vung TNB (03-1-2012) 2 2" xfId="4889"/>
    <cellStyle name="T_ÿÿÿÿÿ_Bieu4HTMT_KH TPCP vung TNB (03-1-2012) 3" xfId="4890"/>
    <cellStyle name="T_ÿÿÿÿÿ_KH TPCP vung TNB (03-1-2012)" xfId="4891"/>
    <cellStyle name="T_ÿÿÿÿÿ_KH TPCP vung TNB (03-1-2012) 2" xfId="4892"/>
    <cellStyle name="T_ÿÿÿÿÿ_KH TPCP vung TNB (03-1-2012) 2 2" xfId="4893"/>
    <cellStyle name="T_ÿÿÿÿÿ_KH TPCP vung TNB (03-1-2012) 3" xfId="4894"/>
    <cellStyle name="T_ÿÿÿÿÿ_kien giang 2" xfId="4895"/>
    <cellStyle name="T_ÿÿÿÿÿ_kien giang 2 2" xfId="4896"/>
    <cellStyle name="T_ÿÿÿÿÿ_kien giang 2 2 2" xfId="4897"/>
    <cellStyle name="T_ÿÿÿÿÿ_kien giang 2 3" xfId="4898"/>
    <cellStyle name="Text Indent A" xfId="4899"/>
    <cellStyle name="Text Indent A 2" xfId="4900"/>
    <cellStyle name="Text Indent B" xfId="4901"/>
    <cellStyle name="Text Indent B 10" xfId="4902"/>
    <cellStyle name="Text Indent B 10 2" xfId="4903"/>
    <cellStyle name="Text Indent B 11" xfId="4904"/>
    <cellStyle name="Text Indent B 11 2" xfId="4905"/>
    <cellStyle name="Text Indent B 12" xfId="4906"/>
    <cellStyle name="Text Indent B 12 2" xfId="4907"/>
    <cellStyle name="Text Indent B 13" xfId="4908"/>
    <cellStyle name="Text Indent B 13 2" xfId="4909"/>
    <cellStyle name="Text Indent B 14" xfId="4910"/>
    <cellStyle name="Text Indent B 14 2" xfId="4911"/>
    <cellStyle name="Text Indent B 15" xfId="4912"/>
    <cellStyle name="Text Indent B 15 2" xfId="4913"/>
    <cellStyle name="Text Indent B 16" xfId="4914"/>
    <cellStyle name="Text Indent B 16 2" xfId="4915"/>
    <cellStyle name="Text Indent B 17" xfId="4916"/>
    <cellStyle name="Text Indent B 2" xfId="4917"/>
    <cellStyle name="Text Indent B 2 2" xfId="4918"/>
    <cellStyle name="Text Indent B 3" xfId="4919"/>
    <cellStyle name="Text Indent B 3 2" xfId="4920"/>
    <cellStyle name="Text Indent B 4" xfId="4921"/>
    <cellStyle name="Text Indent B 4 2" xfId="4922"/>
    <cellStyle name="Text Indent B 5" xfId="4923"/>
    <cellStyle name="Text Indent B 5 2" xfId="4924"/>
    <cellStyle name="Text Indent B 6" xfId="4925"/>
    <cellStyle name="Text Indent B 6 2" xfId="4926"/>
    <cellStyle name="Text Indent B 7" xfId="4927"/>
    <cellStyle name="Text Indent B 7 2" xfId="4928"/>
    <cellStyle name="Text Indent B 8" xfId="4929"/>
    <cellStyle name="Text Indent B 8 2" xfId="4930"/>
    <cellStyle name="Text Indent B 9" xfId="4931"/>
    <cellStyle name="Text Indent B 9 2" xfId="4932"/>
    <cellStyle name="Text Indent C" xfId="4933"/>
    <cellStyle name="Text Indent C 10" xfId="4934"/>
    <cellStyle name="Text Indent C 10 2" xfId="4935"/>
    <cellStyle name="Text Indent C 11" xfId="4936"/>
    <cellStyle name="Text Indent C 11 2" xfId="4937"/>
    <cellStyle name="Text Indent C 12" xfId="4938"/>
    <cellStyle name="Text Indent C 12 2" xfId="4939"/>
    <cellStyle name="Text Indent C 13" xfId="4940"/>
    <cellStyle name="Text Indent C 13 2" xfId="4941"/>
    <cellStyle name="Text Indent C 14" xfId="4942"/>
    <cellStyle name="Text Indent C 14 2" xfId="4943"/>
    <cellStyle name="Text Indent C 15" xfId="4944"/>
    <cellStyle name="Text Indent C 15 2" xfId="4945"/>
    <cellStyle name="Text Indent C 16" xfId="4946"/>
    <cellStyle name="Text Indent C 16 2" xfId="4947"/>
    <cellStyle name="Text Indent C 17" xfId="4948"/>
    <cellStyle name="Text Indent C 2" xfId="4949"/>
    <cellStyle name="Text Indent C 2 2" xfId="4950"/>
    <cellStyle name="Text Indent C 3" xfId="4951"/>
    <cellStyle name="Text Indent C 3 2" xfId="4952"/>
    <cellStyle name="Text Indent C 4" xfId="4953"/>
    <cellStyle name="Text Indent C 4 2" xfId="4954"/>
    <cellStyle name="Text Indent C 5" xfId="4955"/>
    <cellStyle name="Text Indent C 5 2" xfId="4956"/>
    <cellStyle name="Text Indent C 6" xfId="4957"/>
    <cellStyle name="Text Indent C 6 2" xfId="4958"/>
    <cellStyle name="Text Indent C 7" xfId="4959"/>
    <cellStyle name="Text Indent C 7 2" xfId="4960"/>
    <cellStyle name="Text Indent C 8" xfId="4961"/>
    <cellStyle name="Text Indent C 8 2" xfId="4962"/>
    <cellStyle name="Text Indent C 9" xfId="4963"/>
    <cellStyle name="Text Indent C 9 2" xfId="4964"/>
    <cellStyle name="th" xfId="4965"/>
    <cellStyle name="th 2" xfId="4966"/>
    <cellStyle name="th 2 2" xfId="4967"/>
    <cellStyle name="th 3" xfId="4968"/>
    <cellStyle name="þ_x005f_x001d_ð¤_x005f_x000c_¯þ_x005f_x0014__x005f_x000d_¨þU_x005f_x0001_À_x005f_x0004_ _x005f_x0015__x005f_x000f__x005f_x0001__x005f_x0001_" xfId="4969"/>
    <cellStyle name="þ_x005f_x001d_ð¤_x005f_x000c_¯þ_x005f_x0014__x005f_x000d_¨þU_x005f_x0001_À_x005f_x0004_ _x005f_x0015__x005f_x000f__x005f_x0001__x005f_x0001_ 2" xfId="4970"/>
    <cellStyle name="þ_x005f_x001d_ð·_x005f_x000c_æþ'_x005f_x000d_ßþU_x005f_x0001_Ø_x005f_x0005_ü_x005f_x0014__x005f_x0007__x005f_x0001__x005f_x0001_" xfId="4971"/>
    <cellStyle name="þ_x005f_x001d_ð·_x005f_x000c_æþ'_x005f_x000d_ßþU_x005f_x0001_Ø_x005f_x0005_ü_x005f_x0014__x005f_x0007__x005f_x0001__x005f_x0001_ 2" xfId="4972"/>
    <cellStyle name="þ_x005f_x001d_ðÇ%Uý—&amp;Hý9_x005f_x0008_Ÿ s_x005f_x000a__x005f_x0007__x005f_x0001__x005f_x0001_" xfId="4973"/>
    <cellStyle name="þ_x005f_x001d_ðÇ%Uý—&amp;Hý9_x005f_x0008_Ÿ s_x005f_x000a__x005f_x0007__x005f_x0001__x005f_x0001_ 2" xfId="4974"/>
    <cellStyle name="þ_x005f_x001d_ðK_x005f_x000c_Fý_x005f_x001b__x005f_x000d_9ýU_x005f_x0001_Ð_x005f_x0008_¦)_x005f_x0007__x005f_x0001__x005f_x0001_" xfId="4975"/>
    <cellStyle name="þ_x005f_x001d_ðK_x005f_x000c_Fý_x005f_x001b__x005f_x000d_9ýU_x005f_x0001_Ð_x005f_x0008_¦)_x005f_x0007__x005f_x0001__x005f_x0001_ 2" xfId="4976"/>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977"/>
    <cellStyle name="þ_x005f_x005f_x005f_x001d_ð¤_x005f_x005f_x005f_x000c_¯þ_x005f_x005f_x005f_x0014__x005f_x005f_x005f_x000d_¨þU_x005f_x005f_x005f_x0001_À_x005f_x005f_x005f_x0004_ _x005f_x005f_x005f_x0015__x005f_x005f_x005f_x000f__x005f_x005f_x005f_x0001__x005f_x005f_x005f_x0001_ 2" xfId="4978"/>
    <cellStyle name="þ_x005f_x005f_x005f_x001d_ð·_x005f_x005f_x005f_x000c_æþ'_x005f_x005f_x005f_x000d_ßþU_x005f_x005f_x005f_x0001_Ø_x005f_x005f_x005f_x0005_ü_x005f_x005f_x005f_x0014__x005f_x005f_x005f_x0007__x005f_x005f_x005f_x0001__x005f_x005f_x005f_x0001_" xfId="4979"/>
    <cellStyle name="þ_x005f_x005f_x005f_x001d_ð·_x005f_x005f_x005f_x000c_æþ'_x005f_x005f_x005f_x000d_ßþU_x005f_x005f_x005f_x0001_Ø_x005f_x005f_x005f_x0005_ü_x005f_x005f_x005f_x0014__x005f_x005f_x005f_x0007__x005f_x005f_x005f_x0001__x005f_x005f_x005f_x0001_ 2" xfId="4980"/>
    <cellStyle name="þ_x005f_x005f_x005f_x001d_ðÇ%Uý—&amp;Hý9_x005f_x005f_x005f_x0008_Ÿ s_x005f_x005f_x005f_x000a__x005f_x005f_x005f_x0007__x005f_x005f_x005f_x0001__x005f_x005f_x005f_x0001_" xfId="4981"/>
    <cellStyle name="þ_x005f_x005f_x005f_x001d_ðÇ%Uý—&amp;Hý9_x005f_x005f_x005f_x0008_Ÿ s_x005f_x005f_x005f_x000a__x005f_x005f_x005f_x0007__x005f_x005f_x005f_x0001__x005f_x005f_x005f_x0001_ 2" xfId="4982"/>
    <cellStyle name="þ_x005f_x005f_x005f_x001d_ðK_x005f_x005f_x005f_x000c_Fý_x005f_x005f_x005f_x001b__x005f_x005f_x005f_x000d_9ýU_x005f_x005f_x005f_x0001_Ð_x005f_x005f_x005f_x0008_¦)_x005f_x005f_x005f_x0007__x005f_x005f_x005f_x0001__x005f_x005f_x005f_x0001_" xfId="4983"/>
    <cellStyle name="þ_x005f_x005f_x005f_x001d_ðK_x005f_x005f_x005f_x000c_Fý_x005f_x005f_x005f_x001b__x005f_x005f_x005f_x000d_9ýU_x005f_x005f_x005f_x0001_Ð_x005f_x005f_x005f_x0008_¦)_x005f_x005f_x005f_x0007__x005f_x005f_x005f_x0001__x005f_x005f_x005f_x0001_ 2" xfId="4984"/>
    <cellStyle name="than" xfId="4985"/>
    <cellStyle name="than 2" xfId="4986"/>
    <cellStyle name="Thanh" xfId="4987"/>
    <cellStyle name="Thanh 2" xfId="4988"/>
    <cellStyle name="þ_x001d_ð¤_x000c_¯þ_x0014_&#10;¨þU_x0001_À_x0004_ _x0015__x000f__x0001__x0001_" xfId="4989"/>
    <cellStyle name="þ_x001d_ð¤_x000c_¯þ_x0014_&#10;¨þU_x0001_À_x0004_ _x0015__x000f__x0001__x0001_ 2" xfId="4990"/>
    <cellStyle name="þ_x001d_ð¤_x000c_¯þ_x0014__x000d_¨þU_x0001_À_x0004_ _x0015__x000f__x0001__x0001_" xfId="4991"/>
    <cellStyle name="þ_x001d_ð¤_x000c_¯þ_x0014__x000d_¨þU_x0001_À_x0004_ _x0015__x000f__x0001__x0001_ 2" xfId="4992"/>
    <cellStyle name="þ_x001d_ð·_x000c_æþ'&#10;ßþU_x0001_Ø_x0005_ü_x0014__x0007__x0001__x0001_" xfId="4993"/>
    <cellStyle name="þ_x001d_ð·_x000c_æþ'&#10;ßþU_x0001_Ø_x0005_ü_x0014__x0007__x0001__x0001_ 2" xfId="4994"/>
    <cellStyle name="þ_x001d_ð·_x000c_æþ'_x000d_ßþU_x0001_Ø_x0005_ü_x0014__x0007__x0001__x0001_" xfId="4995"/>
    <cellStyle name="þ_x001d_ð·_x000c_æþ'_x000d_ßþU_x0001_Ø_x0005_ü_x0014__x0007__x0001__x0001_ 2" xfId="4996"/>
    <cellStyle name="þ_x001d_ðÇ%Uý—&amp;Hý9_x0008_Ÿ s&#10;_x0007__x0001__x0001_" xfId="4997"/>
    <cellStyle name="þ_x001d_ðÇ%Uý—&amp;Hý9_x0008_Ÿ s&#10;_x0007__x0001__x0001_ 2" xfId="4998"/>
    <cellStyle name="þ_x001d_ðK_x000c_Fý_x001b_&#10;9ýU_x0001_Ð_x0008_¦)_x0007__x0001__x0001_" xfId="4999"/>
    <cellStyle name="þ_x001d_ðK_x000c_Fý_x001b_&#10;9ýU_x0001_Ð_x0008_¦)_x0007__x0001__x0001_ 2" xfId="5000"/>
    <cellStyle name="þ_x001d_ðK_x000c_Fý_x001b__x000d_9ýU_x0001_Ð_x0008_¦)_x0007__x0001__x0001_" xfId="5001"/>
    <cellStyle name="þ_x001d_ðK_x000c_Fý_x001b__x000d_9ýU_x0001_Ð_x0008_¦)_x0007__x0001__x0001_ 2" xfId="5002"/>
    <cellStyle name="thuong-10" xfId="5003"/>
    <cellStyle name="thuong-10 2" xfId="5004"/>
    <cellStyle name="thuong-10 2 2" xfId="5005"/>
    <cellStyle name="thuong-10 2 3" xfId="5006"/>
    <cellStyle name="thuong-10 2 4" xfId="5007"/>
    <cellStyle name="thuong-11" xfId="5008"/>
    <cellStyle name="thuong-11 2" xfId="5009"/>
    <cellStyle name="thuong-11 2 2" xfId="5010"/>
    <cellStyle name="thuong-11 3" xfId="5011"/>
    <cellStyle name="Thuyet minh" xfId="5012"/>
    <cellStyle name="Thuyet minh 2" xfId="5013"/>
    <cellStyle name="Tickmark" xfId="5014"/>
    <cellStyle name="Tickmark 2" xfId="5015"/>
    <cellStyle name="Tien1" xfId="5016"/>
    <cellStyle name="Tien1 2" xfId="5017"/>
    <cellStyle name="Tien1 2 2" xfId="5018"/>
    <cellStyle name="Tien1 2 3" xfId="5019"/>
    <cellStyle name="Tien1 2 4" xfId="5020"/>
    <cellStyle name="Tieu_de_2" xfId="5021"/>
    <cellStyle name="Times New Roman" xfId="5022"/>
    <cellStyle name="Times New Roman 2" xfId="5023"/>
    <cellStyle name="tit1" xfId="5024"/>
    <cellStyle name="tit1 2" xfId="5025"/>
    <cellStyle name="tit2" xfId="5026"/>
    <cellStyle name="tit2 2" xfId="5027"/>
    <cellStyle name="tit2 2 2" xfId="5028"/>
    <cellStyle name="tit2 3" xfId="5029"/>
    <cellStyle name="tit3" xfId="5030"/>
    <cellStyle name="tit3 2" xfId="5031"/>
    <cellStyle name="tit4" xfId="5032"/>
    <cellStyle name="tit4 2" xfId="5033"/>
    <cellStyle name="Title 2" xfId="5034"/>
    <cellStyle name="Title 2 2" xfId="5035"/>
    <cellStyle name="Tong so" xfId="5036"/>
    <cellStyle name="tong so 1" xfId="5037"/>
    <cellStyle name="tong so 1 2" xfId="5038"/>
    <cellStyle name="tong so 1 2 2" xfId="5039"/>
    <cellStyle name="tong so 1 2 3" xfId="5040"/>
    <cellStyle name="tong so 1 2 4" xfId="5041"/>
    <cellStyle name="Tong so 2" xfId="5042"/>
    <cellStyle name="Tong so_Bieu KHPTLN 2016-2020" xfId="5043"/>
    <cellStyle name="Tongcong" xfId="5044"/>
    <cellStyle name="Tongcong 2" xfId="5045"/>
    <cellStyle name="Tongcong 2 2" xfId="5046"/>
    <cellStyle name="Tongcong 2 3" xfId="5047"/>
    <cellStyle name="Tongcong 2 4" xfId="5048"/>
    <cellStyle name="Total 2" xfId="5049"/>
    <cellStyle name="Total 2 2" xfId="5050"/>
    <cellStyle name="trang" xfId="5051"/>
    <cellStyle name="trang 2" xfId="5052"/>
    <cellStyle name="tt1" xfId="5053"/>
    <cellStyle name="tt1 2" xfId="5054"/>
    <cellStyle name="Tusental (0)_pldt" xfId="5055"/>
    <cellStyle name="Tusental_pldt" xfId="5056"/>
    <cellStyle name="ux_3_¼­¿ï-¾È»ê" xfId="5057"/>
    <cellStyle name="Valuta (0)_CALPREZZ" xfId="5058"/>
    <cellStyle name="Valuta_ PESO ELETTR." xfId="5059"/>
    <cellStyle name="VANG1" xfId="5060"/>
    <cellStyle name="VANG1 2" xfId="5061"/>
    <cellStyle name="VANG1 2 2" xfId="5062"/>
    <cellStyle name="VANG1 3" xfId="5063"/>
    <cellStyle name="viet" xfId="5064"/>
    <cellStyle name="viet 2" xfId="5065"/>
    <cellStyle name="viet2" xfId="5066"/>
    <cellStyle name="viet2 2" xfId="5067"/>
    <cellStyle name="viet2 2 2" xfId="5068"/>
    <cellStyle name="viet2 3" xfId="5069"/>
    <cellStyle name="VLB-GTKÕ" xfId="5070"/>
    <cellStyle name="VLB-GTKÕ 2" xfId="5071"/>
    <cellStyle name="VLB-GTKÕ 2 2" xfId="5072"/>
    <cellStyle name="VLB-GTKÕ 2 3" xfId="5073"/>
    <cellStyle name="VLB-GTKÕ 2 4" xfId="5074"/>
    <cellStyle name="VN new romanNormal" xfId="5075"/>
    <cellStyle name="VN new romanNormal 2" xfId="5076"/>
    <cellStyle name="VN new romanNormal 2 2" xfId="5077"/>
    <cellStyle name="VN new romanNormal 2 2 2" xfId="5078"/>
    <cellStyle name="VN new romanNormal 2 3" xfId="5079"/>
    <cellStyle name="VN new romanNormal 3" xfId="5080"/>
    <cellStyle name="VN new romanNormal 3 2" xfId="5081"/>
    <cellStyle name="VN new romanNormal 3 2 2" xfId="5082"/>
    <cellStyle name="VN new romanNormal 3 3" xfId="5083"/>
    <cellStyle name="VN new romanNormal 4" xfId="5084"/>
    <cellStyle name="VN new romanNormal_05-12  KH trung han 2016-2020 - Liem Thinh edited" xfId="5085"/>
    <cellStyle name="Vn Time 13" xfId="5086"/>
    <cellStyle name="Vn Time 13 2" xfId="5087"/>
    <cellStyle name="Vn Time 14" xfId="5088"/>
    <cellStyle name="Vn Time 14 2" xfId="5089"/>
    <cellStyle name="Vn Time 14 2 2" xfId="5090"/>
    <cellStyle name="Vn Time 14 3" xfId="5091"/>
    <cellStyle name="Vn Time 14 3 2" xfId="5092"/>
    <cellStyle name="Vn Time 14 4" xfId="5093"/>
    <cellStyle name="VN time new roman" xfId="5094"/>
    <cellStyle name="VN time new roman 2" xfId="5095"/>
    <cellStyle name="VN time new roman 2 2" xfId="5096"/>
    <cellStyle name="VN time new roman 2 2 2" xfId="5097"/>
    <cellStyle name="VN time new roman 2 3" xfId="5098"/>
    <cellStyle name="VN time new roman 3" xfId="5099"/>
    <cellStyle name="VN time new roman 3 2" xfId="5100"/>
    <cellStyle name="VN time new roman 3 2 2" xfId="5101"/>
    <cellStyle name="VN time new roman 3 3" xfId="5102"/>
    <cellStyle name="VN time new roman 4" xfId="5103"/>
    <cellStyle name="VN time new roman_05-12  KH trung han 2016-2020 - Liem Thinh edited" xfId="5104"/>
    <cellStyle name="vn_time" xfId="5105"/>
    <cellStyle name="vnbo" xfId="5106"/>
    <cellStyle name="vnbo 2" xfId="5107"/>
    <cellStyle name="vnbo 2 2" xfId="5108"/>
    <cellStyle name="vnbo 3" xfId="5109"/>
    <cellStyle name="vnbo 3 2" xfId="5110"/>
    <cellStyle name="vnbo 4" xfId="5111"/>
    <cellStyle name="vnhead1" xfId="5112"/>
    <cellStyle name="vnhead1 2" xfId="5113"/>
    <cellStyle name="vnhead1 2 2" xfId="5114"/>
    <cellStyle name="vnhead1 3" xfId="5115"/>
    <cellStyle name="vnhead2" xfId="5116"/>
    <cellStyle name="vnhead2 2" xfId="5117"/>
    <cellStyle name="vnhead2 2 2" xfId="5118"/>
    <cellStyle name="vnhead2 3" xfId="5119"/>
    <cellStyle name="vnhead2 3 2" xfId="5120"/>
    <cellStyle name="vnhead2 4" xfId="5121"/>
    <cellStyle name="vnhead3" xfId="5122"/>
    <cellStyle name="vnhead3 2" xfId="5123"/>
    <cellStyle name="vnhead3 2 2" xfId="5124"/>
    <cellStyle name="vnhead3 3" xfId="5125"/>
    <cellStyle name="vnhead3 3 2" xfId="5126"/>
    <cellStyle name="vnhead3 4" xfId="5127"/>
    <cellStyle name="vnhead4" xfId="5128"/>
    <cellStyle name="vnhead4 2" xfId="5129"/>
    <cellStyle name="vntxt1" xfId="5130"/>
    <cellStyle name="vntxt1 10" xfId="5131"/>
    <cellStyle name="vntxt1 10 2" xfId="5132"/>
    <cellStyle name="vntxt1 11" xfId="5133"/>
    <cellStyle name="vntxt1 11 2" xfId="5134"/>
    <cellStyle name="vntxt1 12" xfId="5135"/>
    <cellStyle name="vntxt1 12 2" xfId="5136"/>
    <cellStyle name="vntxt1 13" xfId="5137"/>
    <cellStyle name="vntxt1 13 2" xfId="5138"/>
    <cellStyle name="vntxt1 14" xfId="5139"/>
    <cellStyle name="vntxt1 14 2" xfId="5140"/>
    <cellStyle name="vntxt1 15" xfId="5141"/>
    <cellStyle name="vntxt1 15 2" xfId="5142"/>
    <cellStyle name="vntxt1 16" xfId="5143"/>
    <cellStyle name="vntxt1 16 2" xfId="5144"/>
    <cellStyle name="vntxt1 17" xfId="5145"/>
    <cellStyle name="vntxt1 2" xfId="5146"/>
    <cellStyle name="vntxt1 2 2" xfId="5147"/>
    <cellStyle name="vntxt1 3" xfId="5148"/>
    <cellStyle name="vntxt1 3 2" xfId="5149"/>
    <cellStyle name="vntxt1 4" xfId="5150"/>
    <cellStyle name="vntxt1 4 2" xfId="5151"/>
    <cellStyle name="vntxt1 5" xfId="5152"/>
    <cellStyle name="vntxt1 5 2" xfId="5153"/>
    <cellStyle name="vntxt1 6" xfId="5154"/>
    <cellStyle name="vntxt1 6 2" xfId="5155"/>
    <cellStyle name="vntxt1 7" xfId="5156"/>
    <cellStyle name="vntxt1 7 2" xfId="5157"/>
    <cellStyle name="vntxt1 8" xfId="5158"/>
    <cellStyle name="vntxt1 8 2" xfId="5159"/>
    <cellStyle name="vntxt1 9" xfId="5160"/>
    <cellStyle name="vntxt1 9 2" xfId="5161"/>
    <cellStyle name="vntxt1_05-12  KH trung han 2016-2020 - Liem Thinh edited" xfId="5162"/>
    <cellStyle name="vntxt2" xfId="5163"/>
    <cellStyle name="vntxt2 2" xfId="5164"/>
    <cellStyle name="W?hrung [0]_35ERI8T2gbIEMixb4v26icuOo" xfId="5165"/>
    <cellStyle name="W?hrung_35ERI8T2gbIEMixb4v26icuOo" xfId="5166"/>
    <cellStyle name="Währung [0]_68574_Materialbedarfsliste" xfId="5167"/>
    <cellStyle name="Währung_68574_Materialbedarfsliste" xfId="5168"/>
    <cellStyle name="Walutowy [0]_Invoices2001Slovakia" xfId="5169"/>
    <cellStyle name="Walutowy_Invoices2001Slovakia" xfId="5170"/>
    <cellStyle name="Warning Text 2" xfId="5171"/>
    <cellStyle name="Warning Text 2 2" xfId="5172"/>
    <cellStyle name="wrap" xfId="5173"/>
    <cellStyle name="wrap 2" xfId="5174"/>
    <cellStyle name="Wไhrung [0]_35ERI8T2gbIEMixb4v26icuOo" xfId="5175"/>
    <cellStyle name="Wไhrung_35ERI8T2gbIEMixb4v26icuOo" xfId="5176"/>
    <cellStyle name="xan1" xfId="5177"/>
    <cellStyle name="xan1 2" xfId="5178"/>
    <cellStyle name="xan1 2 2" xfId="5179"/>
    <cellStyle name="xan1 2 3" xfId="5180"/>
    <cellStyle name="xan1 2 4" xfId="5181"/>
    <cellStyle name="xuan" xfId="5182"/>
    <cellStyle name="xuan 2" xfId="5183"/>
    <cellStyle name="y" xfId="5184"/>
    <cellStyle name="y 2" xfId="5185"/>
    <cellStyle name="y 2 2" xfId="5186"/>
    <cellStyle name="y 3" xfId="5187"/>
    <cellStyle name="Ý kh¸c_B¶ng 1 (2)" xfId="5188"/>
    <cellStyle name="เครื่องหมายสกุลเงิน [0]_FTC_OFFER" xfId="5189"/>
    <cellStyle name="เครื่องหมายสกุลเงิน_FTC_OFFER" xfId="5190"/>
    <cellStyle name="ปกติ_FTC_OFFER" xfId="5191"/>
    <cellStyle name=" [0.00]_ Att. 1- Cover" xfId="5192"/>
    <cellStyle name="_ Att. 1- Cover" xfId="5193"/>
    <cellStyle name="?_ Att. 1- Cover" xfId="5194"/>
    <cellStyle name="똿뗦먛귟 [0.00]_PRODUCT DETAIL Q1" xfId="5195"/>
    <cellStyle name="똿뗦먛귟_PRODUCT DETAIL Q1" xfId="5196"/>
    <cellStyle name="믅됞 [0.00]_PRODUCT DETAIL Q1" xfId="5197"/>
    <cellStyle name="믅됞_PRODUCT DETAIL Q1" xfId="5198"/>
    <cellStyle name="백분율_††††† " xfId="5199"/>
    <cellStyle name="뷭?_BOOKSHIP" xfId="5200"/>
    <cellStyle name="안건회계법인" xfId="5201"/>
    <cellStyle name="안건회계법인 2" xfId="5202"/>
    <cellStyle name="콤맀_Sheet1_총괄표 (수출입) (2)" xfId="5203"/>
    <cellStyle name="콤마 [ - 유형1" xfId="5204"/>
    <cellStyle name="콤마 [ - 유형1 2" xfId="5205"/>
    <cellStyle name="콤마 [ - 유형2" xfId="5206"/>
    <cellStyle name="콤마 [ - 유형2 2" xfId="5207"/>
    <cellStyle name="콤마 [ - 유형3" xfId="5208"/>
    <cellStyle name="콤마 [ - 유형3 2" xfId="5209"/>
    <cellStyle name="콤마 [ - 유형4" xfId="5210"/>
    <cellStyle name="콤마 [ - 유형4 2" xfId="5211"/>
    <cellStyle name="콤마 [ - 유형5" xfId="5212"/>
    <cellStyle name="콤마 [ - 유형5 2" xfId="5213"/>
    <cellStyle name="콤마 [ - 유형6" xfId="5214"/>
    <cellStyle name="콤마 [ - 유형6 2" xfId="5215"/>
    <cellStyle name="콤마 [ - 유형7" xfId="5216"/>
    <cellStyle name="콤마 [ - 유형7 2" xfId="5217"/>
    <cellStyle name="콤마 [ - 유형8" xfId="5218"/>
    <cellStyle name="콤마 [ - 유형8 2" xfId="5219"/>
    <cellStyle name="콤마 [0]_ 비목별 월별기술 " xfId="5220"/>
    <cellStyle name="콤마_ 비목별 월별기술 " xfId="5221"/>
    <cellStyle name="통화 [0]_††††† " xfId="5222"/>
    <cellStyle name="통화_††††† " xfId="5223"/>
    <cellStyle name="표섀_변경(최종)" xfId="5224"/>
    <cellStyle name="표준_ 97년 경영분석(안)" xfId="5225"/>
    <cellStyle name="표줠_Sheet1_1_총괄표 (수출입) (2)" xfId="5226"/>
    <cellStyle name="一般_00Q3902REV.1" xfId="5227"/>
    <cellStyle name="千分位[0]_00Q3902REV.1" xfId="5228"/>
    <cellStyle name="千分位_00Q3902REV.1" xfId="5229"/>
    <cellStyle name="桁区切り [0.00]_BE-BQ" xfId="5230"/>
    <cellStyle name="桁区切り_BE-BQ" xfId="5231"/>
    <cellStyle name="標準_(A1)BOQ " xfId="5232"/>
    <cellStyle name="貨幣 [0]_00Q3902REV.1" xfId="5233"/>
    <cellStyle name="貨幣[0]_BRE" xfId="5234"/>
    <cellStyle name="貨幣_00Q3902REV.1" xfId="5235"/>
    <cellStyle name="通貨 [0.00]_BE-BQ" xfId="5236"/>
    <cellStyle name="通貨_BE-BQ" xfId="523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Documents/Zalo%20Received%20Files/K&#7870;%20HO&#7840;CH%20&#272;&#7846;U%20T&#431;%20C&#212;NG%20CH&#431;&#416;NG%20TR&#204;NH%20MTQG%202021-2025%20-GNB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253;%20V&#259;n%20Tuy&#7873;n%20n&#259;m%202024/Quy&#7871;t%20&#273;&#7883;nh/Quy&#7871;t%20&#273;&#7883;nh%20&#273;i&#7873;u%20ch&#7881;nh%20MTQG%20n&#259;m%202024%20(l&#7847;n%204)/Bi&#7875;u%20k&#232;m%20Q&#272;%20giao%20v&#7889;n%20n&#259;m%202024%20(l&#7847;n%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253;%20V&#259;n%20Tuy&#7873;n%20n&#259;m%202024/H&#7897;i%20&#273;&#7891;ng%20n&#259;m%202024/K&#7923;%20&#273;&#7897;t%20xu&#7845;t%20th&#225;ng%2010.2024%20(l&#7847;n%201)/&#272;I&#7873;u%20ch&#7881;nh%20MTQG%20n&#259;m%202024%20(l&#7847;n%203%20Th&#225;ng%2010.2024)/1%20BI&#7875;u%20&#273;i&#7873;u%20ch&#7881;nh%20%20PH&#194;N%20B&#7892;%20CH&#431;&#416;NG%20TR&#204;NH%20MTQG%202024%20-%20DTTS&amp;MN%20(l&#7847;n%2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hụ lục 1"/>
      <sheetName val="Phụ lục 2"/>
      <sheetName val="Phụ lục 3"/>
      <sheetName val="Phụ lục 4"/>
      <sheetName val="DỰKIẾN DANH MỤC"/>
      <sheetName val="NĂM 2022"/>
      <sheetName val="NĂM 2023"/>
      <sheetName val="NĂM 2024"/>
      <sheetName val="NĂM 2025"/>
    </sheetNames>
    <sheetDataSet>
      <sheetData sheetId="0">
        <row r="3">
          <cell r="A3" t="str">
            <v>(Kèm theo Quyết định số         /QĐ-UBND ngày             /10/2022 của UBND huyện Na Rì)</v>
          </cell>
          <cell r="B3">
            <v>0</v>
          </cell>
          <cell r="C3">
            <v>0</v>
          </cell>
          <cell r="D3">
            <v>0</v>
          </cell>
          <cell r="E3">
            <v>0</v>
          </cell>
          <cell r="F3">
            <v>0</v>
          </cell>
          <cell r="G3">
            <v>0</v>
          </cell>
          <cell r="H3">
            <v>0</v>
          </cell>
          <cell r="I3">
            <v>0</v>
          </cell>
          <cell r="J3">
            <v>0</v>
          </cell>
          <cell r="K3">
            <v>0</v>
          </cell>
          <cell r="L3">
            <v>0</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GV"/>
      <sheetName val="Biểu số 01"/>
      <sheetName val="Phụ lục 1 (5)"/>
      <sheetName val="Phụ lục 1 (4)"/>
      <sheetName val="Phụ lục 01"/>
      <sheetName val="Phụ lục 1"/>
      <sheetName val="Phụ lục 2"/>
      <sheetName val="Phụ lục 3"/>
      <sheetName val="Phụ lục 4"/>
      <sheetName val="DỰ KIẾN DANH MỤC"/>
      <sheetName val="NĂM 2022"/>
      <sheetName val="NĂM 2023"/>
      <sheetName val="NĂM 2024"/>
      <sheetName val="NĂM 2025"/>
      <sheetName val="Biểu số 02"/>
      <sheetName val="Phụ lục số 01 DTTS"/>
      <sheetName val="Phụ lục số 02 NTM"/>
    </sheetNames>
    <sheetDataSet>
      <sheetData sheetId="0"/>
      <sheetData sheetId="1">
        <row r="14">
          <cell r="U14">
            <v>132</v>
          </cell>
        </row>
        <row r="15">
          <cell r="U15">
            <v>132</v>
          </cell>
        </row>
        <row r="16">
          <cell r="U16">
            <v>88</v>
          </cell>
        </row>
        <row r="17">
          <cell r="U17">
            <v>88</v>
          </cell>
        </row>
        <row r="20">
          <cell r="U20">
            <v>9435.8030490000001</v>
          </cell>
          <cell r="X20">
            <v>6465.7969510000003</v>
          </cell>
        </row>
        <row r="35">
          <cell r="U35">
            <v>450</v>
          </cell>
        </row>
        <row r="37">
          <cell r="U37">
            <v>2680</v>
          </cell>
          <cell r="X37">
            <v>220</v>
          </cell>
        </row>
        <row r="42">
          <cell r="U42">
            <v>2425</v>
          </cell>
          <cell r="X42">
            <v>225</v>
          </cell>
        </row>
        <row r="47">
          <cell r="U47">
            <v>2200</v>
          </cell>
          <cell r="X47">
            <v>150</v>
          </cell>
        </row>
        <row r="51">
          <cell r="U51">
            <v>2700</v>
          </cell>
          <cell r="X51">
            <v>300</v>
          </cell>
        </row>
        <row r="55">
          <cell r="U55">
            <v>2280</v>
          </cell>
          <cell r="X55">
            <v>120</v>
          </cell>
        </row>
        <row r="61">
          <cell r="U61">
            <v>1261</v>
          </cell>
          <cell r="X61">
            <v>139</v>
          </cell>
        </row>
        <row r="63">
          <cell r="U63">
            <v>5105.1130000000003</v>
          </cell>
          <cell r="X63">
            <v>404.887</v>
          </cell>
        </row>
        <row r="72">
          <cell r="U72">
            <v>2454</v>
          </cell>
          <cell r="X72">
            <v>269.13841600000001</v>
          </cell>
        </row>
        <row r="76">
          <cell r="U76">
            <v>768</v>
          </cell>
        </row>
        <row r="79">
          <cell r="U79">
            <v>1260</v>
          </cell>
          <cell r="X79">
            <v>140</v>
          </cell>
        </row>
        <row r="82">
          <cell r="U82">
            <v>2230</v>
          </cell>
          <cell r="X82">
            <v>199.07688999999999</v>
          </cell>
        </row>
        <row r="86">
          <cell r="U86">
            <v>4900</v>
          </cell>
          <cell r="X86">
            <v>470</v>
          </cell>
        </row>
        <row r="93">
          <cell r="U93">
            <v>5058</v>
          </cell>
          <cell r="X93">
            <v>642</v>
          </cell>
        </row>
        <row r="96">
          <cell r="U96">
            <v>6990</v>
          </cell>
          <cell r="X96">
            <v>770.48477500000001</v>
          </cell>
        </row>
        <row r="103">
          <cell r="U103">
            <v>1725.8487660000001</v>
          </cell>
          <cell r="X103">
            <v>193</v>
          </cell>
        </row>
        <row r="106">
          <cell r="U106">
            <v>1480</v>
          </cell>
          <cell r="X106">
            <v>140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hụ lục 1"/>
      <sheetName val="Phụ lục 2"/>
      <sheetName val="Phụ lục 3"/>
      <sheetName val="Phụ lục 4"/>
      <sheetName val="NĂM 2022"/>
      <sheetName val="SGV"/>
      <sheetName val="SGV_2"/>
      <sheetName val="SGV_3"/>
      <sheetName val="SGV_4"/>
      <sheetName val="NĂM 2024"/>
      <sheetName val="NĂM 2025"/>
      <sheetName val=" Năm 2024"/>
      <sheetName val="Phụ biểu 1.1"/>
    </sheetNames>
    <sheetDataSet>
      <sheetData sheetId="0"/>
      <sheetData sheetId="1"/>
      <sheetData sheetId="2"/>
      <sheetData sheetId="3"/>
      <sheetData sheetId="4"/>
      <sheetData sheetId="5"/>
      <sheetData sheetId="6"/>
      <sheetData sheetId="7"/>
      <sheetData sheetId="8"/>
      <sheetData sheetId="9"/>
      <sheetData sheetId="10"/>
      <sheetData sheetId="11">
        <row r="3">
          <cell r="A3" t="str">
            <v>(Kèm theo Tờ trình số 150/TTr-UBND ngày 07/10/2024 của UBND huyện Na Rì)</v>
          </cell>
        </row>
        <row r="13">
          <cell r="AB13">
            <v>484</v>
          </cell>
        </row>
        <row r="14">
          <cell r="AB14">
            <v>280</v>
          </cell>
          <cell r="AE14">
            <v>248</v>
          </cell>
        </row>
        <row r="15">
          <cell r="AE15">
            <v>45</v>
          </cell>
        </row>
        <row r="16">
          <cell r="AB16">
            <v>80</v>
          </cell>
          <cell r="AE16">
            <v>52</v>
          </cell>
        </row>
        <row r="17">
          <cell r="AB17">
            <v>159.2415</v>
          </cell>
          <cell r="AE17">
            <v>12</v>
          </cell>
        </row>
      </sheetData>
      <sheetData sheetId="12"/>
    </sheetDataSet>
  </externalBook>
</externalLink>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S264"/>
  <sheetViews>
    <sheetView topLeftCell="A10" workbookViewId="0">
      <selection activeCell="M181" sqref="M181"/>
    </sheetView>
  </sheetViews>
  <sheetFormatPr defaultRowHeight="15"/>
  <cols>
    <col min="1" max="1" width="5.85546875" customWidth="1"/>
    <col min="2" max="2" width="25.140625" customWidth="1"/>
    <col min="3" max="3" width="14.85546875" customWidth="1"/>
    <col min="4" max="4" width="7.42578125" customWidth="1"/>
    <col min="5" max="5" width="11.140625" customWidth="1"/>
    <col min="6" max="6" width="11" customWidth="1"/>
    <col min="7" max="7" width="10.5703125" customWidth="1"/>
    <col min="8" max="14" width="7.85546875" customWidth="1"/>
    <col min="15" max="17" width="10.5703125" customWidth="1"/>
    <col min="18" max="18" width="8.28515625" customWidth="1"/>
    <col min="19" max="19" width="16.140625" customWidth="1"/>
  </cols>
  <sheetData>
    <row r="1" spans="1:19">
      <c r="A1" s="29"/>
      <c r="B1" s="457" t="s">
        <v>1095</v>
      </c>
      <c r="C1" s="406"/>
      <c r="D1" s="406"/>
      <c r="E1" s="406"/>
      <c r="F1" s="406"/>
      <c r="G1" s="406"/>
      <c r="H1" s="406"/>
      <c r="I1" s="406"/>
      <c r="J1" s="406"/>
      <c r="K1" s="406"/>
      <c r="L1" s="406"/>
      <c r="M1" s="406"/>
      <c r="N1" s="406"/>
      <c r="O1" s="406"/>
      <c r="P1" s="406"/>
      <c r="Q1" s="406"/>
      <c r="R1" s="653" t="s">
        <v>1097</v>
      </c>
      <c r="S1" s="653"/>
    </row>
    <row r="2" spans="1:19" ht="33" customHeight="1">
      <c r="A2" s="654" t="s">
        <v>1008</v>
      </c>
      <c r="B2" s="654"/>
      <c r="C2" s="654"/>
      <c r="D2" s="654"/>
      <c r="E2" s="654"/>
      <c r="F2" s="654"/>
      <c r="G2" s="654"/>
      <c r="H2" s="654"/>
      <c r="I2" s="654"/>
      <c r="J2" s="654"/>
      <c r="K2" s="654"/>
      <c r="L2" s="654"/>
      <c r="M2" s="654"/>
      <c r="N2" s="654"/>
      <c r="O2" s="654"/>
      <c r="P2" s="654"/>
      <c r="Q2" s="654"/>
      <c r="R2" s="654"/>
      <c r="S2" s="654"/>
    </row>
    <row r="3" spans="1:19">
      <c r="A3" s="642" t="str">
        <f>+'[1]Phụ lục 1'!$A$3:$L$3</f>
        <v>(Kèm theo Quyết định số         /QĐ-UBND ngày             /10/2022 của UBND huyện Na Rì)</v>
      </c>
      <c r="B3" s="642"/>
      <c r="C3" s="642"/>
      <c r="D3" s="642"/>
      <c r="E3" s="642"/>
      <c r="F3" s="642"/>
      <c r="G3" s="642"/>
      <c r="H3" s="642"/>
      <c r="I3" s="642"/>
      <c r="J3" s="642"/>
      <c r="K3" s="642"/>
      <c r="L3" s="642"/>
      <c r="M3" s="642"/>
      <c r="N3" s="642"/>
      <c r="O3" s="642"/>
      <c r="P3" s="642"/>
      <c r="Q3" s="642"/>
      <c r="R3" s="642"/>
      <c r="S3" s="642"/>
    </row>
    <row r="4" spans="1:19">
      <c r="A4" s="2"/>
      <c r="B4" s="234"/>
      <c r="C4" s="2"/>
      <c r="D4" s="2"/>
      <c r="E4" s="235"/>
      <c r="F4" s="282"/>
      <c r="G4" s="643" t="s">
        <v>0</v>
      </c>
      <c r="H4" s="643"/>
      <c r="I4" s="643"/>
      <c r="J4" s="643"/>
      <c r="K4" s="643"/>
      <c r="L4" s="643"/>
      <c r="M4" s="643"/>
      <c r="N4" s="643"/>
      <c r="O4" s="643"/>
      <c r="P4" s="643"/>
      <c r="Q4" s="643"/>
      <c r="R4" s="643"/>
      <c r="S4" s="643"/>
    </row>
    <row r="5" spans="1:19" ht="31.5" customHeight="1">
      <c r="A5" s="644" t="s">
        <v>1</v>
      </c>
      <c r="B5" s="645" t="s">
        <v>2</v>
      </c>
      <c r="C5" s="644" t="s">
        <v>3</v>
      </c>
      <c r="D5" s="644" t="s">
        <v>5</v>
      </c>
      <c r="E5" s="655" t="s">
        <v>1098</v>
      </c>
      <c r="F5" s="656"/>
      <c r="G5" s="656"/>
      <c r="H5" s="657"/>
      <c r="I5" s="655" t="s">
        <v>1100</v>
      </c>
      <c r="J5" s="656"/>
      <c r="K5" s="656"/>
      <c r="L5" s="656"/>
      <c r="M5" s="656"/>
      <c r="N5" s="657"/>
      <c r="O5" s="655" t="s">
        <v>1099</v>
      </c>
      <c r="P5" s="656"/>
      <c r="Q5" s="656"/>
      <c r="R5" s="657"/>
      <c r="S5" s="644" t="s">
        <v>8</v>
      </c>
    </row>
    <row r="6" spans="1:19" ht="31.5" customHeight="1">
      <c r="A6" s="644"/>
      <c r="B6" s="645"/>
      <c r="C6" s="644"/>
      <c r="D6" s="644"/>
      <c r="E6" s="462"/>
      <c r="F6" s="463"/>
      <c r="G6" s="463"/>
      <c r="H6" s="464"/>
      <c r="I6" s="644" t="s">
        <v>1102</v>
      </c>
      <c r="J6" s="644"/>
      <c r="K6" s="644"/>
      <c r="L6" s="644" t="s">
        <v>1103</v>
      </c>
      <c r="M6" s="644"/>
      <c r="N6" s="644"/>
      <c r="O6" s="462"/>
      <c r="P6" s="463"/>
      <c r="Q6" s="463"/>
      <c r="R6" s="464"/>
      <c r="S6" s="644"/>
    </row>
    <row r="7" spans="1:19" ht="71.25">
      <c r="A7" s="644"/>
      <c r="B7" s="645"/>
      <c r="C7" s="644"/>
      <c r="D7" s="644"/>
      <c r="E7" s="438" t="s">
        <v>9</v>
      </c>
      <c r="F7" s="283" t="s">
        <v>10</v>
      </c>
      <c r="G7" s="438" t="s">
        <v>11</v>
      </c>
      <c r="H7" s="438" t="s">
        <v>12</v>
      </c>
      <c r="I7" s="460" t="s">
        <v>9</v>
      </c>
      <c r="J7" s="460" t="s">
        <v>10</v>
      </c>
      <c r="K7" s="460" t="s">
        <v>11</v>
      </c>
      <c r="L7" s="458" t="s">
        <v>9</v>
      </c>
      <c r="M7" s="458" t="s">
        <v>10</v>
      </c>
      <c r="N7" s="458" t="s">
        <v>11</v>
      </c>
      <c r="O7" s="438" t="s">
        <v>9</v>
      </c>
      <c r="P7" s="438" t="s">
        <v>10</v>
      </c>
      <c r="Q7" s="438" t="s">
        <v>11</v>
      </c>
      <c r="R7" s="438" t="s">
        <v>12</v>
      </c>
      <c r="S7" s="644"/>
    </row>
    <row r="8" spans="1:19">
      <c r="A8" s="4" t="s">
        <v>48</v>
      </c>
      <c r="B8" s="4" t="s">
        <v>49</v>
      </c>
      <c r="C8" s="4" t="s">
        <v>1083</v>
      </c>
      <c r="D8" s="4">
        <v>1</v>
      </c>
      <c r="E8" s="425">
        <f>+D8+1</f>
        <v>2</v>
      </c>
      <c r="F8" s="425">
        <f t="shared" ref="F8:S8" si="0">+E8+1</f>
        <v>3</v>
      </c>
      <c r="G8" s="425">
        <f t="shared" si="0"/>
        <v>4</v>
      </c>
      <c r="H8" s="425">
        <f t="shared" si="0"/>
        <v>5</v>
      </c>
      <c r="I8" s="425"/>
      <c r="J8" s="425"/>
      <c r="K8" s="425"/>
      <c r="L8" s="425"/>
      <c r="M8" s="425"/>
      <c r="N8" s="425"/>
      <c r="O8" s="425">
        <f>+H8+1</f>
        <v>6</v>
      </c>
      <c r="P8" s="425">
        <f t="shared" si="0"/>
        <v>7</v>
      </c>
      <c r="Q8" s="425">
        <f t="shared" si="0"/>
        <v>8</v>
      </c>
      <c r="R8" s="425">
        <f t="shared" si="0"/>
        <v>9</v>
      </c>
      <c r="S8" s="425">
        <f t="shared" si="0"/>
        <v>10</v>
      </c>
    </row>
    <row r="9" spans="1:19">
      <c r="A9" s="4"/>
      <c r="B9" s="437" t="s">
        <v>13</v>
      </c>
      <c r="C9" s="4"/>
      <c r="D9" s="4"/>
      <c r="E9" s="427">
        <f t="shared" ref="E9:R9" si="1">+E10+E13+E262</f>
        <v>170240.99999999997</v>
      </c>
      <c r="F9" s="427">
        <f t="shared" si="1"/>
        <v>161825</v>
      </c>
      <c r="G9" s="427">
        <f t="shared" si="1"/>
        <v>8416</v>
      </c>
      <c r="H9" s="427">
        <f t="shared" si="1"/>
        <v>0</v>
      </c>
      <c r="I9" s="427"/>
      <c r="J9" s="427"/>
      <c r="K9" s="427"/>
      <c r="L9" s="427"/>
      <c r="M9" s="427"/>
      <c r="N9" s="427"/>
      <c r="O9" s="427">
        <f t="shared" si="1"/>
        <v>40982.639999999999</v>
      </c>
      <c r="P9" s="427">
        <f t="shared" si="1"/>
        <v>38609.729999999996</v>
      </c>
      <c r="Q9" s="427">
        <f t="shared" si="1"/>
        <v>2372.91</v>
      </c>
      <c r="R9" s="427">
        <f t="shared" si="1"/>
        <v>0</v>
      </c>
      <c r="S9" s="4"/>
    </row>
    <row r="10" spans="1:19" ht="58.5" customHeight="1">
      <c r="A10" s="437" t="s">
        <v>14</v>
      </c>
      <c r="B10" s="236" t="s">
        <v>15</v>
      </c>
      <c r="C10" s="236"/>
      <c r="D10" s="236"/>
      <c r="E10" s="428">
        <f>+E11</f>
        <v>9796</v>
      </c>
      <c r="F10" s="428">
        <f t="shared" ref="F10:R10" si="2">+F11</f>
        <v>9020</v>
      </c>
      <c r="G10" s="428">
        <f t="shared" si="2"/>
        <v>776</v>
      </c>
      <c r="H10" s="428">
        <f t="shared" si="2"/>
        <v>0</v>
      </c>
      <c r="I10" s="428"/>
      <c r="J10" s="428"/>
      <c r="K10" s="428"/>
      <c r="L10" s="428"/>
      <c r="M10" s="428"/>
      <c r="N10" s="428"/>
      <c r="O10" s="428">
        <f t="shared" si="2"/>
        <v>9900</v>
      </c>
      <c r="P10" s="428">
        <f t="shared" si="2"/>
        <v>9020</v>
      </c>
      <c r="Q10" s="428">
        <f t="shared" si="2"/>
        <v>880</v>
      </c>
      <c r="R10" s="428">
        <f t="shared" si="2"/>
        <v>0</v>
      </c>
      <c r="S10" s="236"/>
    </row>
    <row r="11" spans="1:19" ht="30">
      <c r="A11" s="6" t="s">
        <v>16</v>
      </c>
      <c r="B11" s="658" t="s">
        <v>17</v>
      </c>
      <c r="C11" s="658"/>
      <c r="D11" s="128" t="s">
        <v>19</v>
      </c>
      <c r="E11" s="429">
        <f t="shared" ref="E11:E12" si="3">F11+G11</f>
        <v>9796</v>
      </c>
      <c r="F11" s="429">
        <f>SUM(F12:F12)</f>
        <v>9020</v>
      </c>
      <c r="G11" s="429">
        <f>SUM(G12:G12)</f>
        <v>776</v>
      </c>
      <c r="H11" s="429">
        <f t="shared" ref="H11:N11" si="4">SUM(H12:H12)</f>
        <v>0</v>
      </c>
      <c r="I11" s="429"/>
      <c r="J11" s="429"/>
      <c r="K11" s="429"/>
      <c r="L11" s="429">
        <f t="shared" si="4"/>
        <v>104</v>
      </c>
      <c r="M11" s="429">
        <f t="shared" si="4"/>
        <v>0</v>
      </c>
      <c r="N11" s="429">
        <f t="shared" si="4"/>
        <v>104</v>
      </c>
      <c r="O11" s="429">
        <f>SUM(O12:O12)</f>
        <v>9900</v>
      </c>
      <c r="P11" s="429">
        <f>SUM(P12:P12)</f>
        <v>9020</v>
      </c>
      <c r="Q11" s="429">
        <f>SUM(Q12:Q12)</f>
        <v>880</v>
      </c>
      <c r="R11" s="429">
        <f>SUM(R12:R12)</f>
        <v>0</v>
      </c>
      <c r="S11" s="239"/>
    </row>
    <row r="12" spans="1:19" ht="109.5" customHeight="1">
      <c r="A12" s="8">
        <v>1</v>
      </c>
      <c r="B12" s="241" t="s">
        <v>23</v>
      </c>
      <c r="C12" s="241"/>
      <c r="D12" s="9" t="s">
        <v>19</v>
      </c>
      <c r="E12" s="426">
        <f t="shared" si="3"/>
        <v>9796</v>
      </c>
      <c r="F12" s="430">
        <v>9020</v>
      </c>
      <c r="G12" s="430">
        <v>776</v>
      </c>
      <c r="H12" s="430"/>
      <c r="I12" s="430"/>
      <c r="J12" s="430"/>
      <c r="K12" s="430"/>
      <c r="L12" s="430">
        <f>+M12+N12</f>
        <v>104</v>
      </c>
      <c r="M12" s="430"/>
      <c r="N12" s="430">
        <v>104</v>
      </c>
      <c r="O12" s="426">
        <f>+P12+Q12</f>
        <v>9900</v>
      </c>
      <c r="P12" s="430">
        <f>+F12+M12</f>
        <v>9020</v>
      </c>
      <c r="Q12" s="430">
        <f>+G12+N12</f>
        <v>880</v>
      </c>
      <c r="R12" s="430"/>
      <c r="S12" s="9" t="s">
        <v>1101</v>
      </c>
    </row>
    <row r="13" spans="1:19" ht="90.75" customHeight="1">
      <c r="A13" s="437" t="s">
        <v>34</v>
      </c>
      <c r="B13" s="239" t="s">
        <v>45</v>
      </c>
      <c r="C13" s="12"/>
      <c r="D13" s="12"/>
      <c r="E13" s="428">
        <f>+E14</f>
        <v>154893.99999999997</v>
      </c>
      <c r="F13" s="428">
        <f t="shared" ref="F13:R13" si="5">+F14</f>
        <v>147518</v>
      </c>
      <c r="G13" s="428">
        <f t="shared" si="5"/>
        <v>7375.9999999999991</v>
      </c>
      <c r="H13" s="428">
        <f t="shared" si="5"/>
        <v>0</v>
      </c>
      <c r="I13" s="428"/>
      <c r="J13" s="428"/>
      <c r="K13" s="428"/>
      <c r="L13" s="428"/>
      <c r="M13" s="428"/>
      <c r="N13" s="428"/>
      <c r="O13" s="428">
        <f t="shared" si="5"/>
        <v>30082.639999999999</v>
      </c>
      <c r="P13" s="428">
        <f t="shared" si="5"/>
        <v>28637.73</v>
      </c>
      <c r="Q13" s="428">
        <f t="shared" si="5"/>
        <v>1444.9099999999999</v>
      </c>
      <c r="R13" s="428">
        <f t="shared" si="5"/>
        <v>0</v>
      </c>
      <c r="S13" s="12"/>
    </row>
    <row r="14" spans="1:19" ht="110.25" customHeight="1">
      <c r="A14" s="6" t="s">
        <v>985</v>
      </c>
      <c r="B14" s="436" t="s">
        <v>1007</v>
      </c>
      <c r="C14" s="128"/>
      <c r="D14" s="128"/>
      <c r="E14" s="431">
        <f>E15+E29+E43+E52+E61+E76+E92+E105+E135+E120+E145+E161+E176+E196+E201+E215+E229</f>
        <v>154893.99999999997</v>
      </c>
      <c r="F14" s="431">
        <f t="shared" ref="F14:R14" si="6">F15+F29+F43+F52+F61+F76+F92+F105+F135+F120+F145+F161+F176+F196+F201+F215+F229</f>
        <v>147518</v>
      </c>
      <c r="G14" s="431">
        <f t="shared" si="6"/>
        <v>7375.9999999999991</v>
      </c>
      <c r="H14" s="431">
        <f t="shared" si="6"/>
        <v>0</v>
      </c>
      <c r="I14" s="431"/>
      <c r="J14" s="431"/>
      <c r="K14" s="431"/>
      <c r="L14" s="431"/>
      <c r="M14" s="431"/>
      <c r="N14" s="431"/>
      <c r="O14" s="431">
        <f t="shared" si="6"/>
        <v>30082.639999999999</v>
      </c>
      <c r="P14" s="431">
        <f t="shared" si="6"/>
        <v>28637.73</v>
      </c>
      <c r="Q14" s="431">
        <f t="shared" si="6"/>
        <v>1444.9099999999999</v>
      </c>
      <c r="R14" s="431">
        <f t="shared" si="6"/>
        <v>0</v>
      </c>
      <c r="S14" s="12"/>
    </row>
    <row r="15" spans="1:19">
      <c r="A15" s="6" t="s">
        <v>987</v>
      </c>
      <c r="B15" s="326" t="s">
        <v>61</v>
      </c>
      <c r="C15" s="16"/>
      <c r="D15" s="16"/>
      <c r="E15" s="431">
        <f>SUM(E16:E28)</f>
        <v>4512.96</v>
      </c>
      <c r="F15" s="432">
        <f>SUM(F16:F28)</f>
        <v>4298</v>
      </c>
      <c r="G15" s="432">
        <f t="shared" ref="G15:R15" si="7">SUM(G16:G28)</f>
        <v>214.96000000000004</v>
      </c>
      <c r="H15" s="432">
        <f t="shared" si="7"/>
        <v>0</v>
      </c>
      <c r="I15" s="432"/>
      <c r="J15" s="432"/>
      <c r="K15" s="432"/>
      <c r="L15" s="432"/>
      <c r="M15" s="432"/>
      <c r="N15" s="432"/>
      <c r="O15" s="432">
        <f>SUM(O16:O28)</f>
        <v>3012.9299999999994</v>
      </c>
      <c r="P15" s="432">
        <f t="shared" si="7"/>
        <v>2857.3300000000004</v>
      </c>
      <c r="Q15" s="432">
        <f t="shared" si="7"/>
        <v>155.60000000000002</v>
      </c>
      <c r="R15" s="432">
        <f t="shared" si="7"/>
        <v>0</v>
      </c>
      <c r="S15" s="322"/>
    </row>
    <row r="16" spans="1:19" ht="45">
      <c r="A16" s="8">
        <v>1</v>
      </c>
      <c r="B16" s="328" t="s">
        <v>62</v>
      </c>
      <c r="C16" s="8" t="s">
        <v>63</v>
      </c>
      <c r="D16" s="8" t="s">
        <v>52</v>
      </c>
      <c r="E16" s="426">
        <f>F16+G16</f>
        <v>270.79999999999995</v>
      </c>
      <c r="F16" s="426">
        <v>257.89999999999998</v>
      </c>
      <c r="G16" s="426">
        <v>12.9</v>
      </c>
      <c r="H16" s="433"/>
      <c r="I16" s="433"/>
      <c r="J16" s="433"/>
      <c r="K16" s="433"/>
      <c r="L16" s="433"/>
      <c r="M16" s="433"/>
      <c r="N16" s="433"/>
      <c r="O16" s="426">
        <f t="shared" ref="O16:O80" si="8">P16+Q16</f>
        <v>270.79999999999995</v>
      </c>
      <c r="P16" s="426">
        <v>257.89999999999998</v>
      </c>
      <c r="Q16" s="426">
        <v>12.9</v>
      </c>
      <c r="R16" s="433"/>
      <c r="S16" s="15"/>
    </row>
    <row r="17" spans="1:19" ht="45">
      <c r="A17" s="8">
        <v>2</v>
      </c>
      <c r="B17" s="328" t="s">
        <v>65</v>
      </c>
      <c r="C17" s="8" t="s">
        <v>66</v>
      </c>
      <c r="D17" s="8" t="s">
        <v>52</v>
      </c>
      <c r="E17" s="426">
        <f>F17+G17</f>
        <v>270.74</v>
      </c>
      <c r="F17" s="426">
        <v>257.85000000000002</v>
      </c>
      <c r="G17" s="426">
        <v>12.89</v>
      </c>
      <c r="H17" s="433"/>
      <c r="I17" s="433"/>
      <c r="J17" s="433"/>
      <c r="K17" s="433"/>
      <c r="L17" s="433"/>
      <c r="M17" s="433"/>
      <c r="N17" s="433"/>
      <c r="O17" s="426">
        <f t="shared" si="8"/>
        <v>270.74</v>
      </c>
      <c r="P17" s="426">
        <v>257.85000000000002</v>
      </c>
      <c r="Q17" s="426">
        <v>12.89</v>
      </c>
      <c r="R17" s="433"/>
      <c r="S17" s="15"/>
    </row>
    <row r="18" spans="1:19" ht="45">
      <c r="A18" s="8">
        <v>3</v>
      </c>
      <c r="B18" s="328" t="s">
        <v>68</v>
      </c>
      <c r="C18" s="8" t="s">
        <v>69</v>
      </c>
      <c r="D18" s="8" t="s">
        <v>52</v>
      </c>
      <c r="E18" s="426">
        <f>F18+G18</f>
        <v>270.75</v>
      </c>
      <c r="F18" s="426">
        <v>257.85000000000002</v>
      </c>
      <c r="G18" s="426">
        <v>12.9</v>
      </c>
      <c r="H18" s="433"/>
      <c r="I18" s="433"/>
      <c r="J18" s="433"/>
      <c r="K18" s="433"/>
      <c r="L18" s="433"/>
      <c r="M18" s="433"/>
      <c r="N18" s="433"/>
      <c r="O18" s="426">
        <f t="shared" si="8"/>
        <v>270.75</v>
      </c>
      <c r="P18" s="426">
        <v>257.85000000000002</v>
      </c>
      <c r="Q18" s="426">
        <v>12.9</v>
      </c>
      <c r="R18" s="433"/>
      <c r="S18" s="15"/>
    </row>
    <row r="19" spans="1:19" ht="45">
      <c r="A19" s="8">
        <v>4</v>
      </c>
      <c r="B19" s="328" t="s">
        <v>71</v>
      </c>
      <c r="C19" s="8" t="s">
        <v>63</v>
      </c>
      <c r="D19" s="8" t="s">
        <v>53</v>
      </c>
      <c r="E19" s="426">
        <f t="shared" ref="E19:E81" si="9">F19+G19</f>
        <v>525.04999999999995</v>
      </c>
      <c r="F19" s="426">
        <v>500</v>
      </c>
      <c r="G19" s="426">
        <v>25.05</v>
      </c>
      <c r="H19" s="433"/>
      <c r="I19" s="433"/>
      <c r="J19" s="433"/>
      <c r="K19" s="433"/>
      <c r="L19" s="433"/>
      <c r="M19" s="433"/>
      <c r="N19" s="433"/>
      <c r="O19" s="426">
        <f t="shared" si="8"/>
        <v>364.34000000000003</v>
      </c>
      <c r="P19" s="433">
        <v>345.67</v>
      </c>
      <c r="Q19" s="433">
        <v>18.670000000000002</v>
      </c>
      <c r="R19" s="433"/>
      <c r="S19" s="15"/>
    </row>
    <row r="20" spans="1:19" ht="45">
      <c r="A20" s="8">
        <v>5</v>
      </c>
      <c r="B20" s="328" t="s">
        <v>65</v>
      </c>
      <c r="C20" s="8" t="s">
        <v>66</v>
      </c>
      <c r="D20" s="8" t="s">
        <v>53</v>
      </c>
      <c r="E20" s="426">
        <f t="shared" si="9"/>
        <v>472.5</v>
      </c>
      <c r="F20" s="426">
        <v>450</v>
      </c>
      <c r="G20" s="426">
        <v>22.5</v>
      </c>
      <c r="H20" s="433"/>
      <c r="I20" s="433"/>
      <c r="J20" s="433"/>
      <c r="K20" s="433"/>
      <c r="L20" s="433"/>
      <c r="M20" s="433"/>
      <c r="N20" s="433"/>
      <c r="O20" s="426">
        <f t="shared" si="8"/>
        <v>364.35</v>
      </c>
      <c r="P20" s="433">
        <v>345.68</v>
      </c>
      <c r="Q20" s="433">
        <v>18.670000000000002</v>
      </c>
      <c r="R20" s="433"/>
      <c r="S20" s="15"/>
    </row>
    <row r="21" spans="1:19" ht="45">
      <c r="A21" s="8">
        <v>6</v>
      </c>
      <c r="B21" s="328" t="s">
        <v>74</v>
      </c>
      <c r="C21" s="8" t="s">
        <v>69</v>
      </c>
      <c r="D21" s="8" t="s">
        <v>53</v>
      </c>
      <c r="E21" s="426">
        <f t="shared" si="9"/>
        <v>525</v>
      </c>
      <c r="F21" s="426">
        <v>500</v>
      </c>
      <c r="G21" s="426">
        <v>25</v>
      </c>
      <c r="H21" s="433"/>
      <c r="I21" s="433"/>
      <c r="J21" s="433"/>
      <c r="K21" s="433"/>
      <c r="L21" s="433"/>
      <c r="M21" s="433"/>
      <c r="N21" s="433"/>
      <c r="O21" s="426">
        <f t="shared" si="8"/>
        <v>364.35</v>
      </c>
      <c r="P21" s="433">
        <v>345.68</v>
      </c>
      <c r="Q21" s="433">
        <v>18.670000000000002</v>
      </c>
      <c r="R21" s="433"/>
      <c r="S21" s="15"/>
    </row>
    <row r="22" spans="1:19" ht="45">
      <c r="A22" s="8">
        <v>7</v>
      </c>
      <c r="B22" s="328" t="s">
        <v>76</v>
      </c>
      <c r="C22" s="8" t="s">
        <v>63</v>
      </c>
      <c r="D22" s="8" t="s">
        <v>78</v>
      </c>
      <c r="E22" s="426">
        <f t="shared" si="9"/>
        <v>472.5</v>
      </c>
      <c r="F22" s="426">
        <v>450</v>
      </c>
      <c r="G22" s="426">
        <v>22.5</v>
      </c>
      <c r="H22" s="433"/>
      <c r="I22" s="433"/>
      <c r="J22" s="433"/>
      <c r="K22" s="433"/>
      <c r="L22" s="433"/>
      <c r="M22" s="433"/>
      <c r="N22" s="433"/>
      <c r="O22" s="426">
        <f t="shared" si="8"/>
        <v>369.2</v>
      </c>
      <c r="P22" s="433">
        <v>348.9</v>
      </c>
      <c r="Q22" s="433">
        <v>20.3</v>
      </c>
      <c r="R22" s="433"/>
      <c r="S22" s="15"/>
    </row>
    <row r="23" spans="1:19" ht="45">
      <c r="A23" s="8">
        <v>8</v>
      </c>
      <c r="B23" s="328" t="s">
        <v>79</v>
      </c>
      <c r="C23" s="8" t="s">
        <v>66</v>
      </c>
      <c r="D23" s="8" t="s">
        <v>54</v>
      </c>
      <c r="E23" s="426">
        <f t="shared" si="9"/>
        <v>472.5</v>
      </c>
      <c r="F23" s="426">
        <v>450</v>
      </c>
      <c r="G23" s="426">
        <v>22.5</v>
      </c>
      <c r="H23" s="433">
        <v>0</v>
      </c>
      <c r="I23" s="433"/>
      <c r="J23" s="433"/>
      <c r="K23" s="433"/>
      <c r="L23" s="433"/>
      <c r="M23" s="433"/>
      <c r="N23" s="433"/>
      <c r="O23" s="426">
        <f t="shared" si="8"/>
        <v>369.2</v>
      </c>
      <c r="P23" s="433">
        <v>348.9</v>
      </c>
      <c r="Q23" s="433">
        <v>20.3</v>
      </c>
      <c r="R23" s="433"/>
      <c r="S23" s="15"/>
    </row>
    <row r="24" spans="1:19" ht="45">
      <c r="A24" s="8">
        <v>9</v>
      </c>
      <c r="B24" s="328" t="s">
        <v>81</v>
      </c>
      <c r="C24" s="8" t="s">
        <v>69</v>
      </c>
      <c r="D24" s="8" t="s">
        <v>54</v>
      </c>
      <c r="E24" s="426">
        <f t="shared" si="9"/>
        <v>420</v>
      </c>
      <c r="F24" s="426">
        <v>400</v>
      </c>
      <c r="G24" s="426">
        <v>20</v>
      </c>
      <c r="H24" s="433"/>
      <c r="I24" s="433"/>
      <c r="J24" s="433"/>
      <c r="K24" s="433"/>
      <c r="L24" s="433"/>
      <c r="M24" s="433"/>
      <c r="N24" s="433"/>
      <c r="O24" s="426">
        <f t="shared" si="8"/>
        <v>0</v>
      </c>
      <c r="P24" s="433"/>
      <c r="Q24" s="433"/>
      <c r="R24" s="433"/>
      <c r="S24" s="15"/>
    </row>
    <row r="25" spans="1:19" ht="45">
      <c r="A25" s="8">
        <v>10</v>
      </c>
      <c r="B25" s="328" t="s">
        <v>82</v>
      </c>
      <c r="C25" s="8" t="s">
        <v>63</v>
      </c>
      <c r="D25" s="8" t="s">
        <v>55</v>
      </c>
      <c r="E25" s="426">
        <f t="shared" si="9"/>
        <v>105</v>
      </c>
      <c r="F25" s="426">
        <v>100</v>
      </c>
      <c r="G25" s="426">
        <v>5</v>
      </c>
      <c r="H25" s="433"/>
      <c r="I25" s="433"/>
      <c r="J25" s="433"/>
      <c r="K25" s="433"/>
      <c r="L25" s="433"/>
      <c r="M25" s="433"/>
      <c r="N25" s="433"/>
      <c r="O25" s="426">
        <f t="shared" si="8"/>
        <v>0</v>
      </c>
      <c r="P25" s="433"/>
      <c r="Q25" s="433"/>
      <c r="R25" s="433"/>
      <c r="S25" s="15"/>
    </row>
    <row r="26" spans="1:19" ht="45">
      <c r="A26" s="8">
        <v>11</v>
      </c>
      <c r="B26" s="328" t="s">
        <v>84</v>
      </c>
      <c r="C26" s="8" t="s">
        <v>63</v>
      </c>
      <c r="D26" s="8" t="s">
        <v>55</v>
      </c>
      <c r="E26" s="426">
        <f t="shared" si="9"/>
        <v>131.04</v>
      </c>
      <c r="F26" s="426">
        <v>124.8</v>
      </c>
      <c r="G26" s="426">
        <v>6.24</v>
      </c>
      <c r="H26" s="433"/>
      <c r="I26" s="433"/>
      <c r="J26" s="433"/>
      <c r="K26" s="433"/>
      <c r="L26" s="433"/>
      <c r="M26" s="433"/>
      <c r="N26" s="433"/>
      <c r="O26" s="426">
        <f t="shared" si="8"/>
        <v>0</v>
      </c>
      <c r="P26" s="433"/>
      <c r="Q26" s="433"/>
      <c r="R26" s="433"/>
      <c r="S26" s="15"/>
    </row>
    <row r="27" spans="1:19" ht="45">
      <c r="A27" s="8">
        <v>12</v>
      </c>
      <c r="B27" s="328" t="s">
        <v>86</v>
      </c>
      <c r="C27" s="8" t="s">
        <v>66</v>
      </c>
      <c r="D27" s="8" t="s">
        <v>55</v>
      </c>
      <c r="E27" s="426">
        <f t="shared" si="9"/>
        <v>288.54000000000002</v>
      </c>
      <c r="F27" s="426">
        <v>274.8</v>
      </c>
      <c r="G27" s="426">
        <v>13.74</v>
      </c>
      <c r="H27" s="433">
        <v>0</v>
      </c>
      <c r="I27" s="433"/>
      <c r="J27" s="433"/>
      <c r="K27" s="433"/>
      <c r="L27" s="433"/>
      <c r="M27" s="433"/>
      <c r="N27" s="433"/>
      <c r="O27" s="426">
        <f t="shared" si="8"/>
        <v>0</v>
      </c>
      <c r="P27" s="433"/>
      <c r="Q27" s="433"/>
      <c r="R27" s="433"/>
      <c r="S27" s="15"/>
    </row>
    <row r="28" spans="1:19" ht="45">
      <c r="A28" s="8">
        <v>13</v>
      </c>
      <c r="B28" s="328" t="s">
        <v>1104</v>
      </c>
      <c r="C28" s="8" t="s">
        <v>69</v>
      </c>
      <c r="D28" s="8" t="s">
        <v>55</v>
      </c>
      <c r="E28" s="426">
        <f t="shared" si="9"/>
        <v>288.54000000000002</v>
      </c>
      <c r="F28" s="426">
        <v>274.8</v>
      </c>
      <c r="G28" s="426">
        <v>13.74</v>
      </c>
      <c r="H28" s="433"/>
      <c r="I28" s="433"/>
      <c r="J28" s="433"/>
      <c r="K28" s="433"/>
      <c r="L28" s="433"/>
      <c r="M28" s="433"/>
      <c r="N28" s="433"/>
      <c r="O28" s="426">
        <f t="shared" si="8"/>
        <v>369.2</v>
      </c>
      <c r="P28" s="433">
        <v>348.9</v>
      </c>
      <c r="Q28" s="433">
        <v>20.3</v>
      </c>
      <c r="R28" s="433"/>
      <c r="S28" s="15"/>
    </row>
    <row r="29" spans="1:19">
      <c r="A29" s="6" t="s">
        <v>988</v>
      </c>
      <c r="B29" s="326" t="s">
        <v>91</v>
      </c>
      <c r="C29" s="6"/>
      <c r="D29" s="23"/>
      <c r="E29" s="429">
        <f>SUM(E30:E42)</f>
        <v>10104.68</v>
      </c>
      <c r="F29" s="429">
        <f>SUM(F30:F42)</f>
        <v>9623.51</v>
      </c>
      <c r="G29" s="429">
        <f t="shared" ref="G29:R29" si="10">SUM(G30:G42)</f>
        <v>481.16999999999996</v>
      </c>
      <c r="H29" s="429">
        <f t="shared" si="10"/>
        <v>0</v>
      </c>
      <c r="I29" s="429"/>
      <c r="J29" s="429"/>
      <c r="K29" s="429"/>
      <c r="L29" s="429"/>
      <c r="M29" s="429"/>
      <c r="N29" s="429"/>
      <c r="O29" s="429">
        <f t="shared" si="10"/>
        <v>1818.67</v>
      </c>
      <c r="P29" s="429">
        <f t="shared" si="10"/>
        <v>1732.07</v>
      </c>
      <c r="Q29" s="429">
        <f t="shared" si="10"/>
        <v>86.6</v>
      </c>
      <c r="R29" s="429">
        <f t="shared" si="10"/>
        <v>0</v>
      </c>
      <c r="S29" s="16"/>
    </row>
    <row r="30" spans="1:19" ht="45">
      <c r="A30" s="8">
        <v>1</v>
      </c>
      <c r="B30" s="328" t="s">
        <v>92</v>
      </c>
      <c r="C30" s="8" t="s">
        <v>972</v>
      </c>
      <c r="D30" s="8" t="s">
        <v>52</v>
      </c>
      <c r="E30" s="426">
        <f t="shared" si="9"/>
        <v>462</v>
      </c>
      <c r="F30" s="426">
        <v>440</v>
      </c>
      <c r="G30" s="426">
        <v>22</v>
      </c>
      <c r="H30" s="433">
        <v>0</v>
      </c>
      <c r="I30" s="433"/>
      <c r="J30" s="433"/>
      <c r="K30" s="433"/>
      <c r="L30" s="433"/>
      <c r="M30" s="433"/>
      <c r="N30" s="433"/>
      <c r="O30" s="426">
        <f t="shared" si="8"/>
        <v>462</v>
      </c>
      <c r="P30" s="426">
        <v>440</v>
      </c>
      <c r="Q30" s="426">
        <v>22</v>
      </c>
      <c r="R30" s="433"/>
      <c r="S30" s="15"/>
    </row>
    <row r="31" spans="1:19" ht="30">
      <c r="A31" s="8">
        <v>2</v>
      </c>
      <c r="B31" s="328" t="s">
        <v>95</v>
      </c>
      <c r="C31" s="8" t="s">
        <v>974</v>
      </c>
      <c r="D31" s="8" t="s">
        <v>52</v>
      </c>
      <c r="E31" s="426">
        <f t="shared" si="9"/>
        <v>462</v>
      </c>
      <c r="F31" s="426">
        <v>440</v>
      </c>
      <c r="G31" s="426">
        <v>22</v>
      </c>
      <c r="H31" s="433">
        <v>0</v>
      </c>
      <c r="I31" s="433"/>
      <c r="J31" s="433"/>
      <c r="K31" s="433"/>
      <c r="L31" s="433"/>
      <c r="M31" s="433"/>
      <c r="N31" s="433"/>
      <c r="O31" s="426">
        <f t="shared" si="8"/>
        <v>462</v>
      </c>
      <c r="P31" s="426">
        <v>440</v>
      </c>
      <c r="Q31" s="426">
        <v>22</v>
      </c>
      <c r="R31" s="433"/>
      <c r="S31" s="15"/>
    </row>
    <row r="32" spans="1:19" ht="45">
      <c r="A32" s="8">
        <v>3</v>
      </c>
      <c r="B32" s="328" t="s">
        <v>97</v>
      </c>
      <c r="C32" s="8" t="s">
        <v>973</v>
      </c>
      <c r="D32" s="8" t="s">
        <v>52</v>
      </c>
      <c r="E32" s="426">
        <f t="shared" si="9"/>
        <v>630</v>
      </c>
      <c r="F32" s="426">
        <v>600</v>
      </c>
      <c r="G32" s="426">
        <v>30</v>
      </c>
      <c r="H32" s="433">
        <v>0</v>
      </c>
      <c r="I32" s="433"/>
      <c r="J32" s="433"/>
      <c r="K32" s="433"/>
      <c r="L32" s="433"/>
      <c r="M32" s="433"/>
      <c r="N32" s="433"/>
      <c r="O32" s="426">
        <f t="shared" si="8"/>
        <v>630</v>
      </c>
      <c r="P32" s="426">
        <v>600</v>
      </c>
      <c r="Q32" s="426">
        <v>30</v>
      </c>
      <c r="R32" s="433"/>
      <c r="S32" s="15"/>
    </row>
    <row r="33" spans="1:19" ht="45">
      <c r="A33" s="8">
        <v>4</v>
      </c>
      <c r="B33" s="328" t="s">
        <v>100</v>
      </c>
      <c r="C33" s="8" t="s">
        <v>972</v>
      </c>
      <c r="D33" s="8" t="s">
        <v>52</v>
      </c>
      <c r="E33" s="426">
        <f t="shared" si="9"/>
        <v>264.67</v>
      </c>
      <c r="F33" s="426">
        <v>252.07</v>
      </c>
      <c r="G33" s="426">
        <v>12.6</v>
      </c>
      <c r="H33" s="433">
        <v>0</v>
      </c>
      <c r="I33" s="433"/>
      <c r="J33" s="433"/>
      <c r="K33" s="433"/>
      <c r="L33" s="433"/>
      <c r="M33" s="433"/>
      <c r="N33" s="433"/>
      <c r="O33" s="426">
        <f t="shared" si="8"/>
        <v>264.67</v>
      </c>
      <c r="P33" s="426">
        <v>252.07</v>
      </c>
      <c r="Q33" s="426">
        <v>12.6</v>
      </c>
      <c r="R33" s="433"/>
      <c r="S33" s="15"/>
    </row>
    <row r="34" spans="1:19" ht="45">
      <c r="A34" s="8">
        <v>5</v>
      </c>
      <c r="B34" s="328" t="s">
        <v>102</v>
      </c>
      <c r="C34" s="8" t="s">
        <v>1009</v>
      </c>
      <c r="D34" s="8" t="s">
        <v>53</v>
      </c>
      <c r="E34" s="426">
        <f t="shared" si="9"/>
        <v>462</v>
      </c>
      <c r="F34" s="426">
        <v>440</v>
      </c>
      <c r="G34" s="426">
        <v>22</v>
      </c>
      <c r="H34" s="433">
        <v>0</v>
      </c>
      <c r="I34" s="433"/>
      <c r="J34" s="433"/>
      <c r="K34" s="433"/>
      <c r="L34" s="433"/>
      <c r="M34" s="433"/>
      <c r="N34" s="433"/>
      <c r="O34" s="426">
        <f t="shared" si="8"/>
        <v>0</v>
      </c>
      <c r="P34" s="433"/>
      <c r="Q34" s="433"/>
      <c r="R34" s="433"/>
      <c r="S34" s="15"/>
    </row>
    <row r="35" spans="1:19" ht="45">
      <c r="A35" s="8">
        <v>6</v>
      </c>
      <c r="B35" s="328" t="s">
        <v>103</v>
      </c>
      <c r="C35" s="8" t="s">
        <v>974</v>
      </c>
      <c r="D35" s="8" t="s">
        <v>53</v>
      </c>
      <c r="E35" s="426">
        <f t="shared" si="9"/>
        <v>735</v>
      </c>
      <c r="F35" s="426">
        <v>700</v>
      </c>
      <c r="G35" s="426">
        <v>35</v>
      </c>
      <c r="H35" s="433">
        <v>0</v>
      </c>
      <c r="I35" s="433"/>
      <c r="J35" s="433"/>
      <c r="K35" s="433"/>
      <c r="L35" s="433"/>
      <c r="M35" s="433"/>
      <c r="N35" s="433"/>
      <c r="O35" s="426">
        <f t="shared" si="8"/>
        <v>0</v>
      </c>
      <c r="P35" s="433"/>
      <c r="Q35" s="433"/>
      <c r="R35" s="433"/>
      <c r="S35" s="15"/>
    </row>
    <row r="36" spans="1:19" ht="45">
      <c r="A36" s="8">
        <v>7</v>
      </c>
      <c r="B36" s="328" t="s">
        <v>105</v>
      </c>
      <c r="C36" s="8" t="s">
        <v>1010</v>
      </c>
      <c r="D36" s="8" t="s">
        <v>53</v>
      </c>
      <c r="E36" s="426">
        <f t="shared" si="9"/>
        <v>1470</v>
      </c>
      <c r="F36" s="426">
        <v>1400</v>
      </c>
      <c r="G36" s="426">
        <v>70</v>
      </c>
      <c r="H36" s="433">
        <v>0</v>
      </c>
      <c r="I36" s="433"/>
      <c r="J36" s="433"/>
      <c r="K36" s="433"/>
      <c r="L36" s="433"/>
      <c r="M36" s="433"/>
      <c r="N36" s="433"/>
      <c r="O36" s="426">
        <f t="shared" si="8"/>
        <v>0</v>
      </c>
      <c r="P36" s="433"/>
      <c r="Q36" s="433"/>
      <c r="R36" s="433"/>
      <c r="S36" s="15"/>
    </row>
    <row r="37" spans="1:19" ht="45">
      <c r="A37" s="8">
        <v>8</v>
      </c>
      <c r="B37" s="328" t="s">
        <v>108</v>
      </c>
      <c r="C37" s="8" t="s">
        <v>1011</v>
      </c>
      <c r="D37" s="8" t="s">
        <v>54</v>
      </c>
      <c r="E37" s="426">
        <f t="shared" si="9"/>
        <v>810.0100000000001</v>
      </c>
      <c r="F37" s="426">
        <v>771.44</v>
      </c>
      <c r="G37" s="426">
        <v>38.57</v>
      </c>
      <c r="H37" s="433">
        <v>0</v>
      </c>
      <c r="I37" s="433"/>
      <c r="J37" s="433"/>
      <c r="K37" s="433"/>
      <c r="L37" s="433"/>
      <c r="M37" s="433"/>
      <c r="N37" s="433"/>
      <c r="O37" s="426">
        <f t="shared" si="8"/>
        <v>0</v>
      </c>
      <c r="P37" s="433"/>
      <c r="Q37" s="433"/>
      <c r="R37" s="433"/>
      <c r="S37" s="15"/>
    </row>
    <row r="38" spans="1:19" ht="60">
      <c r="A38" s="8">
        <v>9</v>
      </c>
      <c r="B38" s="328" t="s">
        <v>111</v>
      </c>
      <c r="C38" s="8" t="s">
        <v>972</v>
      </c>
      <c r="D38" s="8" t="s">
        <v>54</v>
      </c>
      <c r="E38" s="426">
        <f t="shared" si="9"/>
        <v>714</v>
      </c>
      <c r="F38" s="426">
        <v>680</v>
      </c>
      <c r="G38" s="426">
        <v>34</v>
      </c>
      <c r="H38" s="433">
        <v>0</v>
      </c>
      <c r="I38" s="433"/>
      <c r="J38" s="433"/>
      <c r="K38" s="433"/>
      <c r="L38" s="433"/>
      <c r="M38" s="433"/>
      <c r="N38" s="433"/>
      <c r="O38" s="426">
        <f t="shared" si="8"/>
        <v>0</v>
      </c>
      <c r="P38" s="433"/>
      <c r="Q38" s="433"/>
      <c r="R38" s="433"/>
      <c r="S38" s="15"/>
    </row>
    <row r="39" spans="1:19" ht="45">
      <c r="A39" s="375">
        <v>10</v>
      </c>
      <c r="B39" s="376" t="s">
        <v>793</v>
      </c>
      <c r="C39" s="375" t="s">
        <v>1012</v>
      </c>
      <c r="D39" s="375" t="s">
        <v>54</v>
      </c>
      <c r="E39" s="439">
        <f>F39+G39</f>
        <v>367.5</v>
      </c>
      <c r="F39" s="439">
        <v>350</v>
      </c>
      <c r="G39" s="439">
        <v>17.5</v>
      </c>
      <c r="H39" s="440"/>
      <c r="I39" s="440"/>
      <c r="J39" s="440"/>
      <c r="K39" s="440"/>
      <c r="L39" s="440"/>
      <c r="M39" s="440"/>
      <c r="N39" s="440"/>
      <c r="O39" s="439">
        <f t="shared" si="8"/>
        <v>0</v>
      </c>
      <c r="P39" s="440"/>
      <c r="Q39" s="440"/>
      <c r="R39" s="440"/>
      <c r="S39" s="373"/>
    </row>
    <row r="40" spans="1:19" ht="45">
      <c r="A40" s="375">
        <v>11</v>
      </c>
      <c r="B40" s="376" t="s">
        <v>796</v>
      </c>
      <c r="C40" s="375" t="s">
        <v>1010</v>
      </c>
      <c r="D40" s="375" t="s">
        <v>54</v>
      </c>
      <c r="E40" s="439">
        <f>F40+G40</f>
        <v>1102.5</v>
      </c>
      <c r="F40" s="439">
        <v>1050</v>
      </c>
      <c r="G40" s="439">
        <v>52.5</v>
      </c>
      <c r="H40" s="440"/>
      <c r="I40" s="440"/>
      <c r="J40" s="440"/>
      <c r="K40" s="440"/>
      <c r="L40" s="440"/>
      <c r="M40" s="440"/>
      <c r="N40" s="440"/>
      <c r="O40" s="439"/>
      <c r="P40" s="440"/>
      <c r="Q40" s="440"/>
      <c r="R40" s="440"/>
      <c r="S40" s="373"/>
    </row>
    <row r="41" spans="1:19" ht="45">
      <c r="A41" s="8">
        <v>12</v>
      </c>
      <c r="B41" s="328" t="s">
        <v>112</v>
      </c>
      <c r="C41" s="8" t="s">
        <v>1010</v>
      </c>
      <c r="D41" s="8" t="s">
        <v>55</v>
      </c>
      <c r="E41" s="426">
        <f t="shared" si="9"/>
        <v>1785</v>
      </c>
      <c r="F41" s="426">
        <v>1700</v>
      </c>
      <c r="G41" s="426">
        <v>85</v>
      </c>
      <c r="H41" s="433">
        <v>0</v>
      </c>
      <c r="I41" s="433"/>
      <c r="J41" s="433"/>
      <c r="K41" s="433"/>
      <c r="L41" s="433"/>
      <c r="M41" s="433"/>
      <c r="N41" s="433"/>
      <c r="O41" s="426">
        <f t="shared" si="8"/>
        <v>0</v>
      </c>
      <c r="P41" s="433"/>
      <c r="Q41" s="433"/>
      <c r="R41" s="433"/>
      <c r="S41" s="15"/>
    </row>
    <row r="42" spans="1:19" ht="45">
      <c r="A42" s="8">
        <v>13</v>
      </c>
      <c r="B42" s="328" t="s">
        <v>114</v>
      </c>
      <c r="C42" s="8" t="s">
        <v>1009</v>
      </c>
      <c r="D42" s="8" t="s">
        <v>55</v>
      </c>
      <c r="E42" s="426">
        <f t="shared" si="9"/>
        <v>840</v>
      </c>
      <c r="F42" s="426">
        <v>800</v>
      </c>
      <c r="G42" s="426">
        <v>40</v>
      </c>
      <c r="H42" s="433">
        <v>0</v>
      </c>
      <c r="I42" s="433"/>
      <c r="J42" s="433"/>
      <c r="K42" s="433"/>
      <c r="L42" s="433"/>
      <c r="M42" s="433"/>
      <c r="N42" s="433"/>
      <c r="O42" s="426">
        <f t="shared" si="8"/>
        <v>0</v>
      </c>
      <c r="P42" s="433"/>
      <c r="Q42" s="433"/>
      <c r="R42" s="433"/>
      <c r="S42" s="15"/>
    </row>
    <row r="43" spans="1:19">
      <c r="A43" s="6" t="s">
        <v>989</v>
      </c>
      <c r="B43" s="326" t="s">
        <v>118</v>
      </c>
      <c r="C43" s="6"/>
      <c r="D43" s="23"/>
      <c r="E43" s="429">
        <f>SUM(E44:E51)</f>
        <v>9025.7000000000007</v>
      </c>
      <c r="F43" s="429">
        <f t="shared" ref="F43:R43" si="11">SUM(F44:F51)</f>
        <v>8595.9000000000015</v>
      </c>
      <c r="G43" s="429">
        <f t="shared" si="11"/>
        <v>429.8</v>
      </c>
      <c r="H43" s="429">
        <f t="shared" si="11"/>
        <v>0</v>
      </c>
      <c r="I43" s="429"/>
      <c r="J43" s="429"/>
      <c r="K43" s="429"/>
      <c r="L43" s="429"/>
      <c r="M43" s="429"/>
      <c r="N43" s="429"/>
      <c r="O43" s="429">
        <f t="shared" si="11"/>
        <v>1624.46</v>
      </c>
      <c r="P43" s="429">
        <f t="shared" si="11"/>
        <v>1547.1</v>
      </c>
      <c r="Q43" s="429">
        <f t="shared" si="11"/>
        <v>77.36</v>
      </c>
      <c r="R43" s="429">
        <f t="shared" si="11"/>
        <v>0</v>
      </c>
      <c r="S43" s="16"/>
    </row>
    <row r="44" spans="1:19" ht="30">
      <c r="A44" s="8">
        <v>1</v>
      </c>
      <c r="B44" s="328" t="s">
        <v>119</v>
      </c>
      <c r="C44" s="8" t="s">
        <v>971</v>
      </c>
      <c r="D44" s="8" t="s">
        <v>52</v>
      </c>
      <c r="E44" s="426">
        <f t="shared" si="9"/>
        <v>367.5</v>
      </c>
      <c r="F44" s="426">
        <v>350</v>
      </c>
      <c r="G44" s="426">
        <v>17.5</v>
      </c>
      <c r="H44" s="433">
        <v>0</v>
      </c>
      <c r="I44" s="433"/>
      <c r="J44" s="433"/>
      <c r="K44" s="433"/>
      <c r="L44" s="433"/>
      <c r="M44" s="433"/>
      <c r="N44" s="433"/>
      <c r="O44" s="426">
        <f t="shared" si="8"/>
        <v>367.5</v>
      </c>
      <c r="P44" s="426">
        <v>350</v>
      </c>
      <c r="Q44" s="426">
        <v>17.5</v>
      </c>
      <c r="R44" s="433"/>
      <c r="S44" s="15"/>
    </row>
    <row r="45" spans="1:19" ht="45">
      <c r="A45" s="8">
        <v>2</v>
      </c>
      <c r="B45" s="328" t="s">
        <v>121</v>
      </c>
      <c r="C45" s="8" t="s">
        <v>970</v>
      </c>
      <c r="D45" s="8" t="s">
        <v>52</v>
      </c>
      <c r="E45" s="426">
        <f t="shared" si="9"/>
        <v>367.5</v>
      </c>
      <c r="F45" s="426">
        <v>350</v>
      </c>
      <c r="G45" s="426">
        <v>17.5</v>
      </c>
      <c r="H45" s="433">
        <v>0</v>
      </c>
      <c r="I45" s="433"/>
      <c r="J45" s="433"/>
      <c r="K45" s="433"/>
      <c r="L45" s="433"/>
      <c r="M45" s="433"/>
      <c r="N45" s="433"/>
      <c r="O45" s="426">
        <f t="shared" si="8"/>
        <v>367.5</v>
      </c>
      <c r="P45" s="426">
        <v>350</v>
      </c>
      <c r="Q45" s="426">
        <v>17.5</v>
      </c>
      <c r="R45" s="433"/>
      <c r="S45" s="15"/>
    </row>
    <row r="46" spans="1:19" ht="45">
      <c r="A46" s="8">
        <v>3</v>
      </c>
      <c r="B46" s="328" t="s">
        <v>123</v>
      </c>
      <c r="C46" s="8" t="s">
        <v>969</v>
      </c>
      <c r="D46" s="8" t="s">
        <v>52</v>
      </c>
      <c r="E46" s="426">
        <f t="shared" si="9"/>
        <v>367.5</v>
      </c>
      <c r="F46" s="426">
        <v>350</v>
      </c>
      <c r="G46" s="426">
        <v>17.5</v>
      </c>
      <c r="H46" s="433">
        <v>0</v>
      </c>
      <c r="I46" s="433"/>
      <c r="J46" s="433"/>
      <c r="K46" s="433"/>
      <c r="L46" s="433"/>
      <c r="M46" s="433"/>
      <c r="N46" s="433"/>
      <c r="O46" s="426">
        <f t="shared" si="8"/>
        <v>367.5</v>
      </c>
      <c r="P46" s="426">
        <v>350</v>
      </c>
      <c r="Q46" s="426">
        <v>17.5</v>
      </c>
      <c r="R46" s="433"/>
      <c r="S46" s="15"/>
    </row>
    <row r="47" spans="1:19" ht="45">
      <c r="A47" s="8">
        <v>4</v>
      </c>
      <c r="B47" s="328" t="s">
        <v>126</v>
      </c>
      <c r="C47" s="8" t="s">
        <v>968</v>
      </c>
      <c r="D47" s="8" t="s">
        <v>52</v>
      </c>
      <c r="E47" s="426">
        <f>F47+G47</f>
        <v>521.96</v>
      </c>
      <c r="F47" s="426">
        <v>497.1</v>
      </c>
      <c r="G47" s="426">
        <v>24.86</v>
      </c>
      <c r="H47" s="433">
        <v>0</v>
      </c>
      <c r="I47" s="433"/>
      <c r="J47" s="433"/>
      <c r="K47" s="433"/>
      <c r="L47" s="433"/>
      <c r="M47" s="433"/>
      <c r="N47" s="433"/>
      <c r="O47" s="426">
        <f t="shared" si="8"/>
        <v>521.96</v>
      </c>
      <c r="P47" s="426">
        <v>497.1</v>
      </c>
      <c r="Q47" s="426">
        <v>24.86</v>
      </c>
      <c r="R47" s="433"/>
      <c r="S47" s="15"/>
    </row>
    <row r="48" spans="1:19" ht="45">
      <c r="A48" s="8">
        <v>5</v>
      </c>
      <c r="B48" s="328" t="s">
        <v>129</v>
      </c>
      <c r="C48" s="8" t="s">
        <v>968</v>
      </c>
      <c r="D48" s="8" t="s">
        <v>53</v>
      </c>
      <c r="E48" s="426">
        <f t="shared" si="9"/>
        <v>2625</v>
      </c>
      <c r="F48" s="426">
        <v>2500</v>
      </c>
      <c r="G48" s="426">
        <v>125</v>
      </c>
      <c r="H48" s="433">
        <v>0</v>
      </c>
      <c r="I48" s="433"/>
      <c r="J48" s="433"/>
      <c r="K48" s="433"/>
      <c r="L48" s="433"/>
      <c r="M48" s="433"/>
      <c r="N48" s="433"/>
      <c r="O48" s="426">
        <f t="shared" si="8"/>
        <v>0</v>
      </c>
      <c r="P48" s="433"/>
      <c r="Q48" s="433"/>
      <c r="R48" s="433"/>
      <c r="S48" s="15"/>
    </row>
    <row r="49" spans="1:19" ht="30">
      <c r="A49" s="8">
        <v>6</v>
      </c>
      <c r="B49" s="328" t="s">
        <v>131</v>
      </c>
      <c r="C49" s="8" t="s">
        <v>1013</v>
      </c>
      <c r="D49" s="8" t="s">
        <v>54</v>
      </c>
      <c r="E49" s="426">
        <f t="shared" si="9"/>
        <v>2520</v>
      </c>
      <c r="F49" s="426">
        <v>2400</v>
      </c>
      <c r="G49" s="426">
        <v>120</v>
      </c>
      <c r="H49" s="433">
        <v>0</v>
      </c>
      <c r="I49" s="433"/>
      <c r="J49" s="433"/>
      <c r="K49" s="433"/>
      <c r="L49" s="433"/>
      <c r="M49" s="433"/>
      <c r="N49" s="433"/>
      <c r="O49" s="426">
        <f t="shared" si="8"/>
        <v>0</v>
      </c>
      <c r="P49" s="433"/>
      <c r="Q49" s="433"/>
      <c r="R49" s="433"/>
      <c r="S49" s="15"/>
    </row>
    <row r="50" spans="1:19" ht="45">
      <c r="A50" s="8">
        <v>7</v>
      </c>
      <c r="B50" s="328" t="s">
        <v>133</v>
      </c>
      <c r="C50" s="8" t="s">
        <v>970</v>
      </c>
      <c r="D50" s="8" t="s">
        <v>55</v>
      </c>
      <c r="E50" s="426">
        <f t="shared" si="9"/>
        <v>1626.24</v>
      </c>
      <c r="F50" s="426">
        <v>1548.8</v>
      </c>
      <c r="G50" s="426">
        <v>77.44</v>
      </c>
      <c r="H50" s="433">
        <v>0</v>
      </c>
      <c r="I50" s="433"/>
      <c r="J50" s="433"/>
      <c r="K50" s="433"/>
      <c r="L50" s="433"/>
      <c r="M50" s="433"/>
      <c r="N50" s="433"/>
      <c r="O50" s="426">
        <f t="shared" si="8"/>
        <v>0</v>
      </c>
      <c r="P50" s="433"/>
      <c r="Q50" s="433"/>
      <c r="R50" s="433"/>
      <c r="S50" s="15"/>
    </row>
    <row r="51" spans="1:19" ht="45">
      <c r="A51" s="8">
        <v>8</v>
      </c>
      <c r="B51" s="328" t="s">
        <v>135</v>
      </c>
      <c r="C51" s="8" t="s">
        <v>970</v>
      </c>
      <c r="D51" s="8" t="s">
        <v>55</v>
      </c>
      <c r="E51" s="426">
        <f t="shared" si="9"/>
        <v>630</v>
      </c>
      <c r="F51" s="426">
        <v>600</v>
      </c>
      <c r="G51" s="426">
        <v>30</v>
      </c>
      <c r="H51" s="433">
        <v>0</v>
      </c>
      <c r="I51" s="433"/>
      <c r="J51" s="433"/>
      <c r="K51" s="433"/>
      <c r="L51" s="433"/>
      <c r="M51" s="433"/>
      <c r="N51" s="433"/>
      <c r="O51" s="426">
        <f t="shared" si="8"/>
        <v>0</v>
      </c>
      <c r="P51" s="433"/>
      <c r="Q51" s="433"/>
      <c r="R51" s="433"/>
      <c r="S51" s="15"/>
    </row>
    <row r="52" spans="1:19">
      <c r="A52" s="6" t="s">
        <v>990</v>
      </c>
      <c r="B52" s="326" t="s">
        <v>138</v>
      </c>
      <c r="C52" s="24"/>
      <c r="D52" s="23"/>
      <c r="E52" s="429">
        <f>SUM(E53:E60)</f>
        <v>11111.36</v>
      </c>
      <c r="F52" s="429">
        <f t="shared" ref="F52:R52" si="12">SUM(F53:F60)</f>
        <v>10582.15</v>
      </c>
      <c r="G52" s="429">
        <f t="shared" si="12"/>
        <v>529.21</v>
      </c>
      <c r="H52" s="429">
        <f t="shared" si="12"/>
        <v>0</v>
      </c>
      <c r="I52" s="429"/>
      <c r="J52" s="429"/>
      <c r="K52" s="429"/>
      <c r="L52" s="429"/>
      <c r="M52" s="429"/>
      <c r="N52" s="429"/>
      <c r="O52" s="429">
        <f t="shared" si="12"/>
        <v>2003.6999999999998</v>
      </c>
      <c r="P52" s="429">
        <f>SUM(P53:P60)</f>
        <v>1908.12</v>
      </c>
      <c r="Q52" s="429">
        <f t="shared" si="12"/>
        <v>95.58</v>
      </c>
      <c r="R52" s="429">
        <f t="shared" si="12"/>
        <v>0</v>
      </c>
      <c r="S52" s="17"/>
    </row>
    <row r="53" spans="1:19" ht="45">
      <c r="A53" s="8">
        <v>1</v>
      </c>
      <c r="B53" s="328" t="s">
        <v>139</v>
      </c>
      <c r="C53" s="8" t="s">
        <v>967</v>
      </c>
      <c r="D53" s="8" t="s">
        <v>52</v>
      </c>
      <c r="E53" s="426">
        <f>F53+G53</f>
        <v>735</v>
      </c>
      <c r="F53" s="426">
        <v>700</v>
      </c>
      <c r="G53" s="426">
        <v>35</v>
      </c>
      <c r="H53" s="433">
        <v>0</v>
      </c>
      <c r="I53" s="433"/>
      <c r="J53" s="433"/>
      <c r="K53" s="433"/>
      <c r="L53" s="433"/>
      <c r="M53" s="433"/>
      <c r="N53" s="433"/>
      <c r="O53" s="426">
        <f>P53+Q53</f>
        <v>735</v>
      </c>
      <c r="P53" s="426">
        <v>700</v>
      </c>
      <c r="Q53" s="426">
        <v>35</v>
      </c>
      <c r="R53" s="433"/>
      <c r="S53" s="15"/>
    </row>
    <row r="54" spans="1:19" ht="45">
      <c r="A54" s="8">
        <v>2</v>
      </c>
      <c r="B54" s="328" t="s">
        <v>827</v>
      </c>
      <c r="C54" s="8" t="s">
        <v>967</v>
      </c>
      <c r="D54" s="8" t="s">
        <v>52</v>
      </c>
      <c r="E54" s="426">
        <f t="shared" si="9"/>
        <v>331.8</v>
      </c>
      <c r="F54" s="426">
        <v>316</v>
      </c>
      <c r="G54" s="426">
        <v>15.8</v>
      </c>
      <c r="H54" s="433">
        <v>0</v>
      </c>
      <c r="I54" s="433"/>
      <c r="J54" s="433"/>
      <c r="K54" s="433"/>
      <c r="L54" s="433"/>
      <c r="M54" s="433"/>
      <c r="N54" s="433"/>
      <c r="O54" s="426">
        <f t="shared" si="8"/>
        <v>331.8</v>
      </c>
      <c r="P54" s="426">
        <v>316</v>
      </c>
      <c r="Q54" s="426">
        <v>15.8</v>
      </c>
      <c r="R54" s="433"/>
      <c r="S54" s="15"/>
    </row>
    <row r="55" spans="1:19" ht="45">
      <c r="A55" s="8">
        <v>3</v>
      </c>
      <c r="B55" s="328" t="s">
        <v>143</v>
      </c>
      <c r="C55" s="8" t="s">
        <v>967</v>
      </c>
      <c r="D55" s="8" t="s">
        <v>52</v>
      </c>
      <c r="E55" s="426">
        <f>F55+G55</f>
        <v>936.9</v>
      </c>
      <c r="F55" s="426">
        <v>892.12</v>
      </c>
      <c r="G55" s="426">
        <v>44.78</v>
      </c>
      <c r="H55" s="433">
        <v>0</v>
      </c>
      <c r="I55" s="433"/>
      <c r="J55" s="433"/>
      <c r="K55" s="433"/>
      <c r="L55" s="433"/>
      <c r="M55" s="433"/>
      <c r="N55" s="433"/>
      <c r="O55" s="426">
        <f>P55+Q55</f>
        <v>936.9</v>
      </c>
      <c r="P55" s="426">
        <v>892.12</v>
      </c>
      <c r="Q55" s="426">
        <v>44.78</v>
      </c>
      <c r="R55" s="433"/>
      <c r="S55" s="15"/>
    </row>
    <row r="56" spans="1:19" ht="45">
      <c r="A56" s="8">
        <v>4</v>
      </c>
      <c r="B56" s="328" t="s">
        <v>825</v>
      </c>
      <c r="C56" s="8" t="s">
        <v>1014</v>
      </c>
      <c r="D56" s="8" t="s">
        <v>53</v>
      </c>
      <c r="E56" s="426">
        <f>F56+G56</f>
        <v>3000.9</v>
      </c>
      <c r="F56" s="426">
        <v>2858</v>
      </c>
      <c r="G56" s="426">
        <v>142.9</v>
      </c>
      <c r="H56" s="433">
        <v>0</v>
      </c>
      <c r="I56" s="433"/>
      <c r="J56" s="433"/>
      <c r="K56" s="433"/>
      <c r="L56" s="433"/>
      <c r="M56" s="433"/>
      <c r="N56" s="433"/>
      <c r="O56" s="426">
        <f t="shared" si="8"/>
        <v>0</v>
      </c>
      <c r="P56" s="433"/>
      <c r="Q56" s="433"/>
      <c r="R56" s="433"/>
      <c r="S56" s="15"/>
    </row>
    <row r="57" spans="1:19" ht="45">
      <c r="A57" s="8">
        <v>5</v>
      </c>
      <c r="B57" s="328" t="s">
        <v>904</v>
      </c>
      <c r="C57" s="8" t="s">
        <v>967</v>
      </c>
      <c r="D57" s="8" t="s">
        <v>53</v>
      </c>
      <c r="E57" s="426">
        <f t="shared" si="9"/>
        <v>2000.25</v>
      </c>
      <c r="F57" s="426">
        <v>1905</v>
      </c>
      <c r="G57" s="426">
        <v>95.25</v>
      </c>
      <c r="H57" s="433">
        <v>0</v>
      </c>
      <c r="I57" s="433"/>
      <c r="J57" s="433"/>
      <c r="K57" s="433"/>
      <c r="L57" s="433"/>
      <c r="M57" s="433"/>
      <c r="N57" s="433"/>
      <c r="O57" s="426">
        <f t="shared" si="8"/>
        <v>0</v>
      </c>
      <c r="P57" s="433"/>
      <c r="Q57" s="433"/>
      <c r="R57" s="433"/>
      <c r="S57" s="15"/>
    </row>
    <row r="58" spans="1:19" ht="45">
      <c r="A58" s="8">
        <v>6</v>
      </c>
      <c r="B58" s="328" t="s">
        <v>906</v>
      </c>
      <c r="C58" s="8" t="s">
        <v>1014</v>
      </c>
      <c r="D58" s="8" t="s">
        <v>54</v>
      </c>
      <c r="E58" s="426">
        <f t="shared" si="9"/>
        <v>3000.9</v>
      </c>
      <c r="F58" s="426">
        <v>2858</v>
      </c>
      <c r="G58" s="426">
        <v>142.9</v>
      </c>
      <c r="H58" s="433">
        <v>0</v>
      </c>
      <c r="I58" s="433"/>
      <c r="J58" s="433"/>
      <c r="K58" s="433"/>
      <c r="L58" s="433"/>
      <c r="M58" s="433"/>
      <c r="N58" s="433"/>
      <c r="O58" s="426">
        <f t="shared" si="8"/>
        <v>0</v>
      </c>
      <c r="P58" s="433"/>
      <c r="Q58" s="433"/>
      <c r="R58" s="433"/>
      <c r="S58" s="15"/>
    </row>
    <row r="59" spans="1:19" ht="45">
      <c r="A59" s="8">
        <v>7</v>
      </c>
      <c r="B59" s="328" t="s">
        <v>908</v>
      </c>
      <c r="C59" s="8" t="s">
        <v>1015</v>
      </c>
      <c r="D59" s="8" t="s">
        <v>54</v>
      </c>
      <c r="E59" s="426">
        <f t="shared" si="9"/>
        <v>599.51</v>
      </c>
      <c r="F59" s="426">
        <v>571.03</v>
      </c>
      <c r="G59" s="426">
        <v>28.48</v>
      </c>
      <c r="H59" s="433">
        <v>0</v>
      </c>
      <c r="I59" s="433"/>
      <c r="J59" s="433"/>
      <c r="K59" s="433"/>
      <c r="L59" s="433"/>
      <c r="M59" s="433"/>
      <c r="N59" s="433"/>
      <c r="O59" s="426">
        <f t="shared" si="8"/>
        <v>0</v>
      </c>
      <c r="P59" s="433"/>
      <c r="Q59" s="433"/>
      <c r="R59" s="433"/>
      <c r="S59" s="15"/>
    </row>
    <row r="60" spans="1:19" ht="45">
      <c r="A60" s="8">
        <v>8</v>
      </c>
      <c r="B60" s="328" t="s">
        <v>146</v>
      </c>
      <c r="C60" s="8" t="s">
        <v>1015</v>
      </c>
      <c r="D60" s="8" t="s">
        <v>55</v>
      </c>
      <c r="E60" s="426">
        <f t="shared" si="9"/>
        <v>506.1</v>
      </c>
      <c r="F60" s="426">
        <v>482</v>
      </c>
      <c r="G60" s="426">
        <v>24.1</v>
      </c>
      <c r="H60" s="433">
        <v>0</v>
      </c>
      <c r="I60" s="433"/>
      <c r="J60" s="433"/>
      <c r="K60" s="433"/>
      <c r="L60" s="433"/>
      <c r="M60" s="433"/>
      <c r="N60" s="433"/>
      <c r="O60" s="426">
        <f t="shared" si="8"/>
        <v>0</v>
      </c>
      <c r="P60" s="433"/>
      <c r="Q60" s="433"/>
      <c r="R60" s="433"/>
      <c r="S60" s="15"/>
    </row>
    <row r="61" spans="1:19">
      <c r="A61" s="6" t="s">
        <v>991</v>
      </c>
      <c r="B61" s="326" t="s">
        <v>148</v>
      </c>
      <c r="C61" s="24"/>
      <c r="D61" s="23"/>
      <c r="E61" s="429">
        <f>SUM(E62:E75)</f>
        <v>10103.24</v>
      </c>
      <c r="F61" s="429">
        <f t="shared" ref="F61:R61" si="13">SUM(F62:F75)</f>
        <v>9621.49</v>
      </c>
      <c r="G61" s="429">
        <f t="shared" si="13"/>
        <v>481.75</v>
      </c>
      <c r="H61" s="429">
        <f t="shared" si="13"/>
        <v>0</v>
      </c>
      <c r="I61" s="429"/>
      <c r="J61" s="429"/>
      <c r="K61" s="429"/>
      <c r="L61" s="429"/>
      <c r="M61" s="429"/>
      <c r="N61" s="429"/>
      <c r="O61" s="429">
        <f t="shared" si="13"/>
        <v>1818.69</v>
      </c>
      <c r="P61" s="429">
        <f t="shared" si="13"/>
        <v>1731.69</v>
      </c>
      <c r="Q61" s="429">
        <f t="shared" si="13"/>
        <v>87</v>
      </c>
      <c r="R61" s="429">
        <f t="shared" si="13"/>
        <v>0</v>
      </c>
      <c r="S61" s="16"/>
    </row>
    <row r="62" spans="1:19" ht="30">
      <c r="A62" s="21">
        <v>1</v>
      </c>
      <c r="B62" s="329" t="s">
        <v>149</v>
      </c>
      <c r="C62" s="21" t="s">
        <v>966</v>
      </c>
      <c r="D62" s="21" t="s">
        <v>52</v>
      </c>
      <c r="E62" s="426">
        <f t="shared" si="9"/>
        <v>998</v>
      </c>
      <c r="F62" s="426">
        <v>950</v>
      </c>
      <c r="G62" s="426">
        <v>48</v>
      </c>
      <c r="H62" s="433"/>
      <c r="I62" s="433"/>
      <c r="J62" s="433"/>
      <c r="K62" s="433"/>
      <c r="L62" s="433"/>
      <c r="M62" s="433"/>
      <c r="N62" s="433"/>
      <c r="O62" s="426">
        <f t="shared" si="8"/>
        <v>998</v>
      </c>
      <c r="P62" s="426">
        <v>950</v>
      </c>
      <c r="Q62" s="426">
        <v>48</v>
      </c>
      <c r="R62" s="433"/>
      <c r="S62" s="15"/>
    </row>
    <row r="63" spans="1:19" ht="30">
      <c r="A63" s="21">
        <v>2</v>
      </c>
      <c r="B63" s="329" t="s">
        <v>152</v>
      </c>
      <c r="C63" s="21" t="s">
        <v>965</v>
      </c>
      <c r="D63" s="21" t="s">
        <v>52</v>
      </c>
      <c r="E63" s="426">
        <f t="shared" si="9"/>
        <v>820.69</v>
      </c>
      <c r="F63" s="426">
        <v>781.69</v>
      </c>
      <c r="G63" s="426">
        <v>39</v>
      </c>
      <c r="H63" s="433"/>
      <c r="I63" s="433"/>
      <c r="J63" s="433"/>
      <c r="K63" s="433"/>
      <c r="L63" s="433"/>
      <c r="M63" s="433"/>
      <c r="N63" s="433"/>
      <c r="O63" s="426">
        <f t="shared" si="8"/>
        <v>820.69</v>
      </c>
      <c r="P63" s="426">
        <v>781.69</v>
      </c>
      <c r="Q63" s="426">
        <v>39</v>
      </c>
      <c r="R63" s="433"/>
      <c r="S63" s="15"/>
    </row>
    <row r="64" spans="1:19" ht="45">
      <c r="A64" s="21">
        <v>3</v>
      </c>
      <c r="B64" s="329" t="s">
        <v>155</v>
      </c>
      <c r="C64" s="21" t="s">
        <v>1016</v>
      </c>
      <c r="D64" s="21" t="s">
        <v>53</v>
      </c>
      <c r="E64" s="426">
        <f t="shared" si="9"/>
        <v>998</v>
      </c>
      <c r="F64" s="426">
        <v>950</v>
      </c>
      <c r="G64" s="426">
        <v>48</v>
      </c>
      <c r="H64" s="433"/>
      <c r="I64" s="433"/>
      <c r="J64" s="433"/>
      <c r="K64" s="433"/>
      <c r="L64" s="433"/>
      <c r="M64" s="433"/>
      <c r="N64" s="433"/>
      <c r="O64" s="426">
        <f t="shared" si="8"/>
        <v>0</v>
      </c>
      <c r="P64" s="433"/>
      <c r="Q64" s="433"/>
      <c r="R64" s="433"/>
      <c r="S64" s="15"/>
    </row>
    <row r="65" spans="1:19" ht="30">
      <c r="A65" s="21">
        <v>4</v>
      </c>
      <c r="B65" s="329" t="s">
        <v>157</v>
      </c>
      <c r="C65" s="21" t="s">
        <v>1017</v>
      </c>
      <c r="D65" s="21" t="s">
        <v>53</v>
      </c>
      <c r="E65" s="426">
        <f t="shared" si="9"/>
        <v>499</v>
      </c>
      <c r="F65" s="426">
        <v>475</v>
      </c>
      <c r="G65" s="426">
        <v>24</v>
      </c>
      <c r="H65" s="433">
        <v>0</v>
      </c>
      <c r="I65" s="433"/>
      <c r="J65" s="433"/>
      <c r="K65" s="433"/>
      <c r="L65" s="433"/>
      <c r="M65" s="433"/>
      <c r="N65" s="433"/>
      <c r="O65" s="426">
        <f t="shared" si="8"/>
        <v>0</v>
      </c>
      <c r="P65" s="433"/>
      <c r="Q65" s="433"/>
      <c r="R65" s="433"/>
      <c r="S65" s="15"/>
    </row>
    <row r="66" spans="1:19" ht="45">
      <c r="A66" s="21">
        <v>5</v>
      </c>
      <c r="B66" s="329" t="s">
        <v>160</v>
      </c>
      <c r="C66" s="21" t="s">
        <v>1018</v>
      </c>
      <c r="D66" s="21" t="s">
        <v>53</v>
      </c>
      <c r="E66" s="426">
        <f t="shared" si="9"/>
        <v>996</v>
      </c>
      <c r="F66" s="426">
        <v>950</v>
      </c>
      <c r="G66" s="426">
        <v>46</v>
      </c>
      <c r="H66" s="433">
        <v>0</v>
      </c>
      <c r="I66" s="433"/>
      <c r="J66" s="433"/>
      <c r="K66" s="433"/>
      <c r="L66" s="433"/>
      <c r="M66" s="433"/>
      <c r="N66" s="433"/>
      <c r="O66" s="426">
        <f t="shared" si="8"/>
        <v>0</v>
      </c>
      <c r="P66" s="433"/>
      <c r="Q66" s="433"/>
      <c r="R66" s="433"/>
      <c r="S66" s="15"/>
    </row>
    <row r="67" spans="1:19" ht="30">
      <c r="A67" s="21">
        <v>6</v>
      </c>
      <c r="B67" s="329" t="s">
        <v>163</v>
      </c>
      <c r="C67" s="21" t="s">
        <v>1019</v>
      </c>
      <c r="D67" s="21" t="s">
        <v>53</v>
      </c>
      <c r="E67" s="426">
        <f t="shared" si="9"/>
        <v>499</v>
      </c>
      <c r="F67" s="426">
        <v>475</v>
      </c>
      <c r="G67" s="426">
        <v>24</v>
      </c>
      <c r="H67" s="433">
        <v>0</v>
      </c>
      <c r="I67" s="433"/>
      <c r="J67" s="433"/>
      <c r="K67" s="433"/>
      <c r="L67" s="433"/>
      <c r="M67" s="433"/>
      <c r="N67" s="433"/>
      <c r="O67" s="426">
        <f t="shared" si="8"/>
        <v>0</v>
      </c>
      <c r="P67" s="433"/>
      <c r="Q67" s="433"/>
      <c r="R67" s="433"/>
      <c r="S67" s="15"/>
    </row>
    <row r="68" spans="1:19" ht="30">
      <c r="A68" s="21">
        <v>7</v>
      </c>
      <c r="B68" s="329" t="s">
        <v>166</v>
      </c>
      <c r="C68" s="21" t="s">
        <v>1020</v>
      </c>
      <c r="D68" s="21" t="s">
        <v>54</v>
      </c>
      <c r="E68" s="426">
        <f t="shared" si="9"/>
        <v>998</v>
      </c>
      <c r="F68" s="426">
        <v>950</v>
      </c>
      <c r="G68" s="426">
        <v>48</v>
      </c>
      <c r="H68" s="433">
        <v>0</v>
      </c>
      <c r="I68" s="433"/>
      <c r="J68" s="433"/>
      <c r="K68" s="433"/>
      <c r="L68" s="433"/>
      <c r="M68" s="433"/>
      <c r="N68" s="433"/>
      <c r="O68" s="426">
        <f t="shared" si="8"/>
        <v>0</v>
      </c>
      <c r="P68" s="433"/>
      <c r="Q68" s="433"/>
      <c r="R68" s="433"/>
      <c r="S68" s="15"/>
    </row>
    <row r="69" spans="1:19" ht="45">
      <c r="A69" s="21">
        <v>8</v>
      </c>
      <c r="B69" s="329" t="s">
        <v>169</v>
      </c>
      <c r="C69" s="21" t="s">
        <v>1021</v>
      </c>
      <c r="D69" s="21" t="s">
        <v>54</v>
      </c>
      <c r="E69" s="426">
        <f t="shared" si="9"/>
        <v>706</v>
      </c>
      <c r="F69" s="426">
        <v>672</v>
      </c>
      <c r="G69" s="426">
        <v>34</v>
      </c>
      <c r="H69" s="433">
        <v>0</v>
      </c>
      <c r="I69" s="433"/>
      <c r="J69" s="433"/>
      <c r="K69" s="433"/>
      <c r="L69" s="433"/>
      <c r="M69" s="433"/>
      <c r="N69" s="433"/>
      <c r="O69" s="426">
        <f t="shared" si="8"/>
        <v>0</v>
      </c>
      <c r="P69" s="433"/>
      <c r="Q69" s="433"/>
      <c r="R69" s="433"/>
      <c r="S69" s="15"/>
    </row>
    <row r="70" spans="1:19" ht="45">
      <c r="A70" s="21">
        <v>9</v>
      </c>
      <c r="B70" s="329" t="s">
        <v>172</v>
      </c>
      <c r="C70" s="21" t="s">
        <v>1022</v>
      </c>
      <c r="D70" s="21" t="s">
        <v>54</v>
      </c>
      <c r="E70" s="426">
        <f t="shared" si="9"/>
        <v>303</v>
      </c>
      <c r="F70" s="426">
        <v>288</v>
      </c>
      <c r="G70" s="426">
        <v>15</v>
      </c>
      <c r="H70" s="433">
        <v>0</v>
      </c>
      <c r="I70" s="433"/>
      <c r="J70" s="433"/>
      <c r="K70" s="433"/>
      <c r="L70" s="433"/>
      <c r="M70" s="433"/>
      <c r="N70" s="433"/>
      <c r="O70" s="426">
        <f t="shared" si="8"/>
        <v>0</v>
      </c>
      <c r="P70" s="433"/>
      <c r="Q70" s="433"/>
      <c r="R70" s="433"/>
      <c r="S70" s="15"/>
    </row>
    <row r="71" spans="1:19" ht="30">
      <c r="A71" s="21">
        <v>10</v>
      </c>
      <c r="B71" s="329" t="s">
        <v>175</v>
      </c>
      <c r="C71" s="21" t="s">
        <v>1022</v>
      </c>
      <c r="D71" s="21" t="s">
        <v>54</v>
      </c>
      <c r="E71" s="426">
        <f t="shared" si="9"/>
        <v>303</v>
      </c>
      <c r="F71" s="426">
        <v>288</v>
      </c>
      <c r="G71" s="426">
        <v>15</v>
      </c>
      <c r="H71" s="433">
        <v>0</v>
      </c>
      <c r="I71" s="433"/>
      <c r="J71" s="433"/>
      <c r="K71" s="433"/>
      <c r="L71" s="433"/>
      <c r="M71" s="433"/>
      <c r="N71" s="433"/>
      <c r="O71" s="426">
        <f t="shared" si="8"/>
        <v>0</v>
      </c>
      <c r="P71" s="433"/>
      <c r="Q71" s="433"/>
      <c r="R71" s="433"/>
      <c r="S71" s="15"/>
    </row>
    <row r="72" spans="1:19" ht="30">
      <c r="A72" s="21">
        <v>11</v>
      </c>
      <c r="B72" s="329" t="s">
        <v>177</v>
      </c>
      <c r="C72" s="21" t="s">
        <v>1019</v>
      </c>
      <c r="D72" s="21" t="s">
        <v>54</v>
      </c>
      <c r="E72" s="426">
        <f t="shared" si="9"/>
        <v>248.75</v>
      </c>
      <c r="F72" s="426">
        <v>235</v>
      </c>
      <c r="G72" s="426">
        <v>13.75</v>
      </c>
      <c r="H72" s="433">
        <v>0</v>
      </c>
      <c r="I72" s="433"/>
      <c r="J72" s="433"/>
      <c r="K72" s="433"/>
      <c r="L72" s="433"/>
      <c r="M72" s="433"/>
      <c r="N72" s="433"/>
      <c r="O72" s="426">
        <f t="shared" si="8"/>
        <v>0</v>
      </c>
      <c r="P72" s="433"/>
      <c r="Q72" s="433"/>
      <c r="R72" s="433"/>
      <c r="S72" s="15"/>
    </row>
    <row r="73" spans="1:19" ht="30">
      <c r="A73" s="21">
        <v>12</v>
      </c>
      <c r="B73" s="329" t="s">
        <v>179</v>
      </c>
      <c r="C73" s="21" t="s">
        <v>1023</v>
      </c>
      <c r="D73" s="21" t="s">
        <v>55</v>
      </c>
      <c r="E73" s="426">
        <f t="shared" si="9"/>
        <v>996</v>
      </c>
      <c r="F73" s="426">
        <v>950</v>
      </c>
      <c r="G73" s="426">
        <v>46</v>
      </c>
      <c r="H73" s="433">
        <v>0</v>
      </c>
      <c r="I73" s="433"/>
      <c r="J73" s="433"/>
      <c r="K73" s="433"/>
      <c r="L73" s="433"/>
      <c r="M73" s="433"/>
      <c r="N73" s="433"/>
      <c r="O73" s="426">
        <f t="shared" si="8"/>
        <v>0</v>
      </c>
      <c r="P73" s="433"/>
      <c r="Q73" s="433"/>
      <c r="R73" s="433"/>
      <c r="S73" s="15"/>
    </row>
    <row r="74" spans="1:19" ht="30">
      <c r="A74" s="21">
        <v>13</v>
      </c>
      <c r="B74" s="329" t="s">
        <v>181</v>
      </c>
      <c r="C74" s="21" t="s">
        <v>1024</v>
      </c>
      <c r="D74" s="21" t="s">
        <v>55</v>
      </c>
      <c r="E74" s="426">
        <f t="shared" si="9"/>
        <v>996</v>
      </c>
      <c r="F74" s="426">
        <v>950</v>
      </c>
      <c r="G74" s="426">
        <v>46</v>
      </c>
      <c r="H74" s="433">
        <v>0</v>
      </c>
      <c r="I74" s="433"/>
      <c r="J74" s="433"/>
      <c r="K74" s="433"/>
      <c r="L74" s="433"/>
      <c r="M74" s="433"/>
      <c r="N74" s="433"/>
      <c r="O74" s="426">
        <f t="shared" si="8"/>
        <v>0</v>
      </c>
      <c r="P74" s="433"/>
      <c r="Q74" s="433"/>
      <c r="R74" s="433"/>
      <c r="S74" s="15"/>
    </row>
    <row r="75" spans="1:19" ht="45">
      <c r="A75" s="21">
        <v>14</v>
      </c>
      <c r="B75" s="329" t="s">
        <v>183</v>
      </c>
      <c r="C75" s="21" t="s">
        <v>1025</v>
      </c>
      <c r="D75" s="21" t="s">
        <v>55</v>
      </c>
      <c r="E75" s="426">
        <f t="shared" si="9"/>
        <v>741.8</v>
      </c>
      <c r="F75" s="426">
        <v>706.8</v>
      </c>
      <c r="G75" s="426">
        <v>35</v>
      </c>
      <c r="H75" s="433">
        <v>0</v>
      </c>
      <c r="I75" s="433"/>
      <c r="J75" s="433"/>
      <c r="K75" s="433"/>
      <c r="L75" s="433"/>
      <c r="M75" s="433"/>
      <c r="N75" s="433"/>
      <c r="O75" s="426">
        <f t="shared" si="8"/>
        <v>0</v>
      </c>
      <c r="P75" s="433"/>
      <c r="Q75" s="433"/>
      <c r="R75" s="433"/>
      <c r="S75" s="15"/>
    </row>
    <row r="76" spans="1:19">
      <c r="A76" s="6" t="s">
        <v>992</v>
      </c>
      <c r="B76" s="326" t="s">
        <v>186</v>
      </c>
      <c r="C76" s="24"/>
      <c r="D76" s="23"/>
      <c r="E76" s="429">
        <f>SUM(E77:E91)</f>
        <v>10075.539999999999</v>
      </c>
      <c r="F76" s="429">
        <f t="shared" ref="F76:R76" si="14">SUM(F77:F91)</f>
        <v>9595.74</v>
      </c>
      <c r="G76" s="429">
        <f t="shared" si="14"/>
        <v>479.8</v>
      </c>
      <c r="H76" s="429">
        <f t="shared" si="14"/>
        <v>0</v>
      </c>
      <c r="I76" s="429"/>
      <c r="J76" s="429"/>
      <c r="K76" s="429"/>
      <c r="L76" s="429"/>
      <c r="M76" s="429"/>
      <c r="N76" s="429"/>
      <c r="O76" s="429">
        <f t="shared" si="14"/>
        <v>1813.4</v>
      </c>
      <c r="P76" s="429">
        <f t="shared" si="14"/>
        <v>1727.04</v>
      </c>
      <c r="Q76" s="429">
        <f t="shared" si="14"/>
        <v>86.36</v>
      </c>
      <c r="R76" s="429">
        <f t="shared" si="14"/>
        <v>0</v>
      </c>
      <c r="S76" s="16"/>
    </row>
    <row r="77" spans="1:19" ht="30">
      <c r="A77" s="8">
        <v>1</v>
      </c>
      <c r="B77" s="360" t="s">
        <v>187</v>
      </c>
      <c r="C77" s="8" t="s">
        <v>188</v>
      </c>
      <c r="D77" s="381" t="s">
        <v>52</v>
      </c>
      <c r="E77" s="426">
        <f t="shared" si="9"/>
        <v>395.85</v>
      </c>
      <c r="F77" s="426">
        <v>377</v>
      </c>
      <c r="G77" s="426">
        <v>18.850000000000001</v>
      </c>
      <c r="H77" s="433"/>
      <c r="I77" s="433"/>
      <c r="J77" s="433"/>
      <c r="K77" s="433"/>
      <c r="L77" s="433"/>
      <c r="M77" s="433"/>
      <c r="N77" s="433"/>
      <c r="O77" s="426">
        <f t="shared" si="8"/>
        <v>395.85</v>
      </c>
      <c r="P77" s="426">
        <v>377</v>
      </c>
      <c r="Q77" s="426">
        <v>18.850000000000001</v>
      </c>
      <c r="R77" s="433"/>
      <c r="S77" s="15"/>
    </row>
    <row r="78" spans="1:19" ht="30">
      <c r="A78" s="8">
        <v>2</v>
      </c>
      <c r="B78" s="382" t="s">
        <v>190</v>
      </c>
      <c r="C78" s="383" t="s">
        <v>191</v>
      </c>
      <c r="D78" s="381" t="s">
        <v>52</v>
      </c>
      <c r="E78" s="426">
        <f t="shared" si="9"/>
        <v>577.5</v>
      </c>
      <c r="F78" s="426">
        <v>550</v>
      </c>
      <c r="G78" s="426">
        <v>27.5</v>
      </c>
      <c r="H78" s="433"/>
      <c r="I78" s="433"/>
      <c r="J78" s="433"/>
      <c r="K78" s="433"/>
      <c r="L78" s="433"/>
      <c r="M78" s="433"/>
      <c r="N78" s="433"/>
      <c r="O78" s="426">
        <f t="shared" si="8"/>
        <v>577.5</v>
      </c>
      <c r="P78" s="426">
        <v>550</v>
      </c>
      <c r="Q78" s="426">
        <v>27.5</v>
      </c>
      <c r="R78" s="433"/>
      <c r="S78" s="15"/>
    </row>
    <row r="79" spans="1:19" ht="45">
      <c r="A79" s="8">
        <v>3</v>
      </c>
      <c r="B79" s="360" t="s">
        <v>193</v>
      </c>
      <c r="C79" s="8" t="s">
        <v>194</v>
      </c>
      <c r="D79" s="381" t="s">
        <v>52</v>
      </c>
      <c r="E79" s="426">
        <f t="shared" si="9"/>
        <v>840.05</v>
      </c>
      <c r="F79" s="426">
        <v>800.04</v>
      </c>
      <c r="G79" s="426">
        <v>40.01</v>
      </c>
      <c r="H79" s="433"/>
      <c r="I79" s="433"/>
      <c r="J79" s="433"/>
      <c r="K79" s="433"/>
      <c r="L79" s="433"/>
      <c r="M79" s="433"/>
      <c r="N79" s="433"/>
      <c r="O79" s="426">
        <f t="shared" si="8"/>
        <v>840.05</v>
      </c>
      <c r="P79" s="426">
        <v>800.04</v>
      </c>
      <c r="Q79" s="426">
        <v>40.01</v>
      </c>
      <c r="R79" s="433"/>
      <c r="S79" s="15"/>
    </row>
    <row r="80" spans="1:19" ht="45">
      <c r="A80" s="375">
        <v>4</v>
      </c>
      <c r="B80" s="376" t="s">
        <v>195</v>
      </c>
      <c r="C80" s="375" t="s">
        <v>196</v>
      </c>
      <c r="D80" s="384" t="s">
        <v>53</v>
      </c>
      <c r="E80" s="439">
        <f t="shared" si="9"/>
        <v>414.75</v>
      </c>
      <c r="F80" s="439">
        <v>395</v>
      </c>
      <c r="G80" s="439">
        <f>F80*5%</f>
        <v>19.75</v>
      </c>
      <c r="H80" s="440"/>
      <c r="I80" s="440"/>
      <c r="J80" s="440"/>
      <c r="K80" s="440"/>
      <c r="L80" s="440"/>
      <c r="M80" s="440"/>
      <c r="N80" s="440"/>
      <c r="O80" s="439">
        <f t="shared" si="8"/>
        <v>0</v>
      </c>
      <c r="P80" s="440"/>
      <c r="Q80" s="440"/>
      <c r="R80" s="440"/>
      <c r="S80" s="375"/>
    </row>
    <row r="81" spans="1:19" ht="30">
      <c r="A81" s="8">
        <v>5</v>
      </c>
      <c r="B81" s="328" t="s">
        <v>198</v>
      </c>
      <c r="C81" s="8" t="s">
        <v>1026</v>
      </c>
      <c r="D81" s="21" t="s">
        <v>53</v>
      </c>
      <c r="E81" s="426">
        <f t="shared" si="9"/>
        <v>1575</v>
      </c>
      <c r="F81" s="426">
        <v>1500</v>
      </c>
      <c r="G81" s="426">
        <v>75</v>
      </c>
      <c r="H81" s="433">
        <v>0</v>
      </c>
      <c r="I81" s="433"/>
      <c r="J81" s="433"/>
      <c r="K81" s="433"/>
      <c r="L81" s="433"/>
      <c r="M81" s="433"/>
      <c r="N81" s="433"/>
      <c r="O81" s="426">
        <f t="shared" ref="O81:O144" si="15">P81+Q81</f>
        <v>0</v>
      </c>
      <c r="P81" s="433"/>
      <c r="Q81" s="433"/>
      <c r="R81" s="433"/>
      <c r="S81" s="8"/>
    </row>
    <row r="82" spans="1:19" ht="30">
      <c r="A82" s="375">
        <v>6</v>
      </c>
      <c r="B82" s="376" t="s">
        <v>799</v>
      </c>
      <c r="C82" s="375" t="s">
        <v>186</v>
      </c>
      <c r="D82" s="384" t="s">
        <v>53</v>
      </c>
      <c r="E82" s="439">
        <f>F82+G82</f>
        <v>504</v>
      </c>
      <c r="F82" s="439">
        <v>480</v>
      </c>
      <c r="G82" s="439">
        <f>F82*5%</f>
        <v>24</v>
      </c>
      <c r="H82" s="440"/>
      <c r="I82" s="440"/>
      <c r="J82" s="440"/>
      <c r="K82" s="440"/>
      <c r="L82" s="440"/>
      <c r="M82" s="440"/>
      <c r="N82" s="440"/>
      <c r="O82" s="439">
        <f t="shared" si="15"/>
        <v>0</v>
      </c>
      <c r="P82" s="440"/>
      <c r="Q82" s="440"/>
      <c r="R82" s="440"/>
      <c r="S82" s="373"/>
    </row>
    <row r="83" spans="1:19" ht="30">
      <c r="A83" s="375">
        <v>7</v>
      </c>
      <c r="B83" s="376" t="s">
        <v>209</v>
      </c>
      <c r="C83" s="375" t="s">
        <v>210</v>
      </c>
      <c r="D83" s="384" t="s">
        <v>53</v>
      </c>
      <c r="E83" s="439">
        <f>F83+G83</f>
        <v>315</v>
      </c>
      <c r="F83" s="439">
        <v>300</v>
      </c>
      <c r="G83" s="439">
        <f>F83*5%</f>
        <v>15</v>
      </c>
      <c r="H83" s="440"/>
      <c r="I83" s="440"/>
      <c r="J83" s="440"/>
      <c r="K83" s="440"/>
      <c r="L83" s="440"/>
      <c r="M83" s="440"/>
      <c r="N83" s="440"/>
      <c r="O83" s="439"/>
      <c r="P83" s="440"/>
      <c r="Q83" s="440"/>
      <c r="R83" s="440"/>
      <c r="S83" s="373"/>
    </row>
    <row r="84" spans="1:19" ht="30">
      <c r="A84" s="375">
        <v>8</v>
      </c>
      <c r="B84" s="376" t="s">
        <v>203</v>
      </c>
      <c r="C84" s="375" t="s">
        <v>1027</v>
      </c>
      <c r="D84" s="384" t="s">
        <v>54</v>
      </c>
      <c r="E84" s="439">
        <f t="shared" ref="E84:E144" si="16">F84+G84</f>
        <v>630</v>
      </c>
      <c r="F84" s="439">
        <v>600</v>
      </c>
      <c r="G84" s="439">
        <f>F84*5%</f>
        <v>30</v>
      </c>
      <c r="H84" s="440">
        <v>0</v>
      </c>
      <c r="I84" s="440"/>
      <c r="J84" s="440"/>
      <c r="K84" s="440"/>
      <c r="L84" s="440"/>
      <c r="M84" s="440"/>
      <c r="N84" s="440"/>
      <c r="O84" s="439">
        <f t="shared" si="15"/>
        <v>0</v>
      </c>
      <c r="P84" s="440"/>
      <c r="Q84" s="440"/>
      <c r="R84" s="440"/>
      <c r="S84" s="375"/>
    </row>
    <row r="85" spans="1:19" ht="45">
      <c r="A85" s="8">
        <v>9</v>
      </c>
      <c r="B85" s="360" t="s">
        <v>206</v>
      </c>
      <c r="C85" s="8" t="s">
        <v>196</v>
      </c>
      <c r="D85" s="21" t="s">
        <v>54</v>
      </c>
      <c r="E85" s="426">
        <f t="shared" si="16"/>
        <v>210</v>
      </c>
      <c r="F85" s="426">
        <v>200</v>
      </c>
      <c r="G85" s="426">
        <v>10</v>
      </c>
      <c r="H85" s="433"/>
      <c r="I85" s="433"/>
      <c r="J85" s="433"/>
      <c r="K85" s="433"/>
      <c r="L85" s="433"/>
      <c r="M85" s="433"/>
      <c r="N85" s="433"/>
      <c r="O85" s="426">
        <f t="shared" si="15"/>
        <v>0</v>
      </c>
      <c r="P85" s="433"/>
      <c r="Q85" s="433"/>
      <c r="R85" s="433"/>
      <c r="S85" s="8"/>
    </row>
    <row r="86" spans="1:19" ht="45">
      <c r="A86" s="375">
        <v>10</v>
      </c>
      <c r="B86" s="441" t="s">
        <v>207</v>
      </c>
      <c r="C86" s="375" t="s">
        <v>194</v>
      </c>
      <c r="D86" s="384" t="s">
        <v>54</v>
      </c>
      <c r="E86" s="439">
        <f t="shared" si="16"/>
        <v>420</v>
      </c>
      <c r="F86" s="439">
        <v>400</v>
      </c>
      <c r="G86" s="439">
        <f>F86*5%</f>
        <v>20</v>
      </c>
      <c r="H86" s="440"/>
      <c r="I86" s="440"/>
      <c r="J86" s="440"/>
      <c r="K86" s="440"/>
      <c r="L86" s="440"/>
      <c r="M86" s="440"/>
      <c r="N86" s="440"/>
      <c r="O86" s="439">
        <f t="shared" si="15"/>
        <v>0</v>
      </c>
      <c r="P86" s="440"/>
      <c r="Q86" s="440"/>
      <c r="R86" s="440"/>
      <c r="S86" s="375"/>
    </row>
    <row r="87" spans="1:19" ht="45">
      <c r="A87" s="8">
        <v>11</v>
      </c>
      <c r="B87" s="328" t="s">
        <v>212</v>
      </c>
      <c r="C87" s="8" t="s">
        <v>213</v>
      </c>
      <c r="D87" s="21" t="s">
        <v>54</v>
      </c>
      <c r="E87" s="426">
        <f t="shared" si="16"/>
        <v>1260</v>
      </c>
      <c r="F87" s="426">
        <v>1200</v>
      </c>
      <c r="G87" s="426">
        <v>60</v>
      </c>
      <c r="H87" s="433"/>
      <c r="I87" s="433"/>
      <c r="J87" s="433"/>
      <c r="K87" s="433"/>
      <c r="L87" s="433"/>
      <c r="M87" s="433"/>
      <c r="N87" s="433"/>
      <c r="O87" s="426">
        <f t="shared" si="15"/>
        <v>0</v>
      </c>
      <c r="P87" s="433"/>
      <c r="Q87" s="433"/>
      <c r="R87" s="433"/>
      <c r="S87" s="8"/>
    </row>
    <row r="88" spans="1:19" ht="30">
      <c r="A88" s="8">
        <v>12</v>
      </c>
      <c r="B88" s="328" t="s">
        <v>215</v>
      </c>
      <c r="C88" s="8" t="s">
        <v>210</v>
      </c>
      <c r="D88" s="21" t="s">
        <v>54</v>
      </c>
      <c r="E88" s="426">
        <f t="shared" si="16"/>
        <v>315</v>
      </c>
      <c r="F88" s="426">
        <v>300</v>
      </c>
      <c r="G88" s="426">
        <v>15</v>
      </c>
      <c r="H88" s="433"/>
      <c r="I88" s="433"/>
      <c r="J88" s="433"/>
      <c r="K88" s="433"/>
      <c r="L88" s="433"/>
      <c r="M88" s="433"/>
      <c r="N88" s="433"/>
      <c r="O88" s="426">
        <f t="shared" si="15"/>
        <v>0</v>
      </c>
      <c r="P88" s="433"/>
      <c r="Q88" s="433"/>
      <c r="R88" s="433"/>
      <c r="S88" s="8"/>
    </row>
    <row r="89" spans="1:19" ht="30">
      <c r="A89" s="8">
        <v>13</v>
      </c>
      <c r="B89" s="382" t="s">
        <v>217</v>
      </c>
      <c r="C89" s="383" t="s">
        <v>218</v>
      </c>
      <c r="D89" s="21" t="s">
        <v>55</v>
      </c>
      <c r="E89" s="426">
        <f t="shared" si="16"/>
        <v>630</v>
      </c>
      <c r="F89" s="426">
        <v>600</v>
      </c>
      <c r="G89" s="426">
        <v>30</v>
      </c>
      <c r="H89" s="433"/>
      <c r="I89" s="433"/>
      <c r="J89" s="433"/>
      <c r="K89" s="433"/>
      <c r="L89" s="433"/>
      <c r="M89" s="433"/>
      <c r="N89" s="433"/>
      <c r="O89" s="426">
        <f t="shared" si="15"/>
        <v>0</v>
      </c>
      <c r="P89" s="433"/>
      <c r="Q89" s="433"/>
      <c r="R89" s="433"/>
      <c r="S89" s="8"/>
    </row>
    <row r="90" spans="1:19" ht="30">
      <c r="A90" s="8">
        <v>14</v>
      </c>
      <c r="B90" s="360" t="s">
        <v>220</v>
      </c>
      <c r="C90" s="8" t="s">
        <v>186</v>
      </c>
      <c r="D90" s="21" t="s">
        <v>55</v>
      </c>
      <c r="E90" s="426">
        <f t="shared" si="16"/>
        <v>1489.64</v>
      </c>
      <c r="F90" s="426">
        <v>1418.7</v>
      </c>
      <c r="G90" s="426">
        <v>70.94</v>
      </c>
      <c r="H90" s="433"/>
      <c r="I90" s="433"/>
      <c r="J90" s="433"/>
      <c r="K90" s="433"/>
      <c r="L90" s="433"/>
      <c r="M90" s="433"/>
      <c r="N90" s="433"/>
      <c r="O90" s="426">
        <f t="shared" si="15"/>
        <v>0</v>
      </c>
      <c r="P90" s="433"/>
      <c r="Q90" s="433"/>
      <c r="R90" s="433"/>
      <c r="S90" s="8"/>
    </row>
    <row r="91" spans="1:19" ht="30">
      <c r="A91" s="375">
        <v>15</v>
      </c>
      <c r="B91" s="441" t="s">
        <v>802</v>
      </c>
      <c r="C91" s="375" t="s">
        <v>1028</v>
      </c>
      <c r="D91" s="384" t="s">
        <v>55</v>
      </c>
      <c r="E91" s="439">
        <f t="shared" si="16"/>
        <v>498.75</v>
      </c>
      <c r="F91" s="439">
        <v>475</v>
      </c>
      <c r="G91" s="439">
        <f>F91*5%</f>
        <v>23.75</v>
      </c>
      <c r="H91" s="440"/>
      <c r="I91" s="440"/>
      <c r="J91" s="440"/>
      <c r="K91" s="440"/>
      <c r="L91" s="440"/>
      <c r="M91" s="440"/>
      <c r="N91" s="440"/>
      <c r="O91" s="439">
        <f t="shared" si="15"/>
        <v>0</v>
      </c>
      <c r="P91" s="440"/>
      <c r="Q91" s="440"/>
      <c r="R91" s="440"/>
      <c r="S91" s="375"/>
    </row>
    <row r="92" spans="1:19">
      <c r="A92" s="6" t="s">
        <v>993</v>
      </c>
      <c r="B92" s="332" t="s">
        <v>223</v>
      </c>
      <c r="C92" s="24"/>
      <c r="D92" s="23"/>
      <c r="E92" s="429">
        <f>SUM(E93:E104)</f>
        <v>4514.05</v>
      </c>
      <c r="F92" s="429">
        <f t="shared" ref="F92:R92" si="17">SUM(F93:F104)</f>
        <v>4297.9500000000007</v>
      </c>
      <c r="G92" s="429">
        <f t="shared" si="17"/>
        <v>216.1</v>
      </c>
      <c r="H92" s="429">
        <f t="shared" si="17"/>
        <v>0</v>
      </c>
      <c r="I92" s="429"/>
      <c r="J92" s="429"/>
      <c r="K92" s="429"/>
      <c r="L92" s="429"/>
      <c r="M92" s="429"/>
      <c r="N92" s="429"/>
      <c r="O92" s="429">
        <f t="shared" si="17"/>
        <v>1113.0999999999999</v>
      </c>
      <c r="P92" s="429">
        <f t="shared" si="17"/>
        <v>1073.7</v>
      </c>
      <c r="Q92" s="429">
        <f t="shared" si="17"/>
        <v>39.4</v>
      </c>
      <c r="R92" s="429">
        <f t="shared" si="17"/>
        <v>0</v>
      </c>
      <c r="S92" s="16"/>
    </row>
    <row r="93" spans="1:19" ht="30">
      <c r="A93" s="8">
        <v>1</v>
      </c>
      <c r="B93" s="328" t="s">
        <v>224</v>
      </c>
      <c r="C93" s="8" t="s">
        <v>225</v>
      </c>
      <c r="D93" s="21" t="s">
        <v>52</v>
      </c>
      <c r="E93" s="426">
        <f t="shared" si="16"/>
        <v>270.85000000000002</v>
      </c>
      <c r="F93" s="426">
        <v>257.85000000000002</v>
      </c>
      <c r="G93" s="426">
        <v>13</v>
      </c>
      <c r="H93" s="433"/>
      <c r="I93" s="433"/>
      <c r="J93" s="433"/>
      <c r="K93" s="433"/>
      <c r="L93" s="433"/>
      <c r="M93" s="433"/>
      <c r="N93" s="433"/>
      <c r="O93" s="426">
        <f t="shared" si="15"/>
        <v>270.85000000000002</v>
      </c>
      <c r="P93" s="426">
        <v>257.85000000000002</v>
      </c>
      <c r="Q93" s="426">
        <v>13</v>
      </c>
      <c r="R93" s="433"/>
      <c r="S93" s="15"/>
    </row>
    <row r="94" spans="1:19" ht="30">
      <c r="A94" s="8">
        <v>2</v>
      </c>
      <c r="B94" s="328" t="s">
        <v>227</v>
      </c>
      <c r="C94" s="8" t="s">
        <v>228</v>
      </c>
      <c r="D94" s="21" t="s">
        <v>52</v>
      </c>
      <c r="E94" s="426">
        <f t="shared" si="16"/>
        <v>629.85</v>
      </c>
      <c r="F94" s="426">
        <v>599.85</v>
      </c>
      <c r="G94" s="426">
        <v>30</v>
      </c>
      <c r="H94" s="433"/>
      <c r="I94" s="433"/>
      <c r="J94" s="433"/>
      <c r="K94" s="433"/>
      <c r="L94" s="433"/>
      <c r="M94" s="433"/>
      <c r="N94" s="433"/>
      <c r="O94" s="426">
        <f t="shared" si="15"/>
        <v>572.4</v>
      </c>
      <c r="P94" s="426">
        <f>258+300</f>
        <v>558</v>
      </c>
      <c r="Q94" s="426">
        <v>14.4</v>
      </c>
      <c r="R94" s="433"/>
      <c r="S94" s="15"/>
    </row>
    <row r="95" spans="1:19" ht="30">
      <c r="A95" s="8">
        <v>3</v>
      </c>
      <c r="B95" s="328" t="s">
        <v>230</v>
      </c>
      <c r="C95" s="8" t="s">
        <v>231</v>
      </c>
      <c r="D95" s="21" t="s">
        <v>52</v>
      </c>
      <c r="E95" s="426">
        <f t="shared" si="16"/>
        <v>269.85000000000002</v>
      </c>
      <c r="F95" s="426">
        <v>257.85000000000002</v>
      </c>
      <c r="G95" s="426">
        <v>12</v>
      </c>
      <c r="H95" s="433"/>
      <c r="I95" s="433"/>
      <c r="J95" s="433"/>
      <c r="K95" s="433"/>
      <c r="L95" s="433"/>
      <c r="M95" s="433"/>
      <c r="N95" s="433"/>
      <c r="O95" s="426">
        <f t="shared" si="15"/>
        <v>269.85000000000002</v>
      </c>
      <c r="P95" s="426">
        <v>257.85000000000002</v>
      </c>
      <c r="Q95" s="426">
        <v>12</v>
      </c>
      <c r="R95" s="433"/>
      <c r="S95" s="15"/>
    </row>
    <row r="96" spans="1:19" ht="30">
      <c r="A96" s="8">
        <v>4</v>
      </c>
      <c r="B96" s="328" t="s">
        <v>232</v>
      </c>
      <c r="C96" s="8" t="s">
        <v>225</v>
      </c>
      <c r="D96" s="21" t="s">
        <v>53</v>
      </c>
      <c r="E96" s="426">
        <f t="shared" si="16"/>
        <v>357</v>
      </c>
      <c r="F96" s="426">
        <v>342</v>
      </c>
      <c r="G96" s="426">
        <v>15</v>
      </c>
      <c r="H96" s="433"/>
      <c r="I96" s="433"/>
      <c r="J96" s="433"/>
      <c r="K96" s="433"/>
      <c r="L96" s="433"/>
      <c r="M96" s="433"/>
      <c r="N96" s="433"/>
      <c r="O96" s="426">
        <f t="shared" si="15"/>
        <v>0</v>
      </c>
      <c r="P96" s="433"/>
      <c r="Q96" s="433"/>
      <c r="R96" s="433"/>
      <c r="S96" s="15"/>
    </row>
    <row r="97" spans="1:19" ht="45">
      <c r="A97" s="8">
        <v>5</v>
      </c>
      <c r="B97" s="328" t="s">
        <v>233</v>
      </c>
      <c r="C97" s="8" t="s">
        <v>231</v>
      </c>
      <c r="D97" s="21" t="s">
        <v>53</v>
      </c>
      <c r="E97" s="426">
        <f t="shared" si="16"/>
        <v>359.1</v>
      </c>
      <c r="F97" s="426">
        <v>342</v>
      </c>
      <c r="G97" s="426">
        <v>17.100000000000001</v>
      </c>
      <c r="H97" s="433"/>
      <c r="I97" s="433"/>
      <c r="J97" s="433"/>
      <c r="K97" s="433"/>
      <c r="L97" s="433"/>
      <c r="M97" s="433"/>
      <c r="N97" s="433"/>
      <c r="O97" s="426">
        <f t="shared" si="15"/>
        <v>0</v>
      </c>
      <c r="P97" s="433"/>
      <c r="Q97" s="433"/>
      <c r="R97" s="433"/>
      <c r="S97" s="15"/>
    </row>
    <row r="98" spans="1:19" ht="30">
      <c r="A98" s="8">
        <v>6</v>
      </c>
      <c r="B98" s="328" t="s">
        <v>234</v>
      </c>
      <c r="C98" s="8" t="s">
        <v>231</v>
      </c>
      <c r="D98" s="21" t="s">
        <v>53</v>
      </c>
      <c r="E98" s="426">
        <f t="shared" si="16"/>
        <v>320</v>
      </c>
      <c r="F98" s="426">
        <v>300</v>
      </c>
      <c r="G98" s="426">
        <v>20</v>
      </c>
      <c r="H98" s="433"/>
      <c r="I98" s="433"/>
      <c r="J98" s="433"/>
      <c r="K98" s="433"/>
      <c r="L98" s="433"/>
      <c r="M98" s="433"/>
      <c r="N98" s="433"/>
      <c r="O98" s="426">
        <f t="shared" si="15"/>
        <v>0</v>
      </c>
      <c r="P98" s="433"/>
      <c r="Q98" s="433"/>
      <c r="R98" s="433"/>
      <c r="S98" s="15"/>
    </row>
    <row r="99" spans="1:19" ht="30">
      <c r="A99" s="8">
        <v>7</v>
      </c>
      <c r="B99" s="328" t="s">
        <v>236</v>
      </c>
      <c r="C99" s="8" t="s">
        <v>228</v>
      </c>
      <c r="D99" s="21" t="s">
        <v>53</v>
      </c>
      <c r="E99" s="426">
        <f t="shared" si="16"/>
        <v>630</v>
      </c>
      <c r="F99" s="426">
        <v>600</v>
      </c>
      <c r="G99" s="426">
        <v>30</v>
      </c>
      <c r="H99" s="433"/>
      <c r="I99" s="433"/>
      <c r="J99" s="433"/>
      <c r="K99" s="433"/>
      <c r="L99" s="433"/>
      <c r="M99" s="433"/>
      <c r="N99" s="433"/>
      <c r="O99" s="426">
        <f t="shared" si="15"/>
        <v>0</v>
      </c>
      <c r="P99" s="433"/>
      <c r="Q99" s="433"/>
      <c r="R99" s="433"/>
      <c r="S99" s="15"/>
    </row>
    <row r="100" spans="1:19" ht="30">
      <c r="A100" s="8">
        <v>8</v>
      </c>
      <c r="B100" s="328" t="s">
        <v>238</v>
      </c>
      <c r="C100" s="8" t="s">
        <v>225</v>
      </c>
      <c r="D100" s="21" t="s">
        <v>53</v>
      </c>
      <c r="E100" s="426">
        <f t="shared" si="16"/>
        <v>315</v>
      </c>
      <c r="F100" s="426">
        <v>300</v>
      </c>
      <c r="G100" s="426">
        <v>15</v>
      </c>
      <c r="H100" s="433"/>
      <c r="I100" s="433"/>
      <c r="J100" s="433"/>
      <c r="K100" s="433"/>
      <c r="L100" s="433"/>
      <c r="M100" s="433"/>
      <c r="N100" s="433"/>
      <c r="O100" s="426">
        <f t="shared" si="15"/>
        <v>0</v>
      </c>
      <c r="P100" s="433"/>
      <c r="Q100" s="433"/>
      <c r="R100" s="433"/>
      <c r="S100" s="15"/>
    </row>
    <row r="101" spans="1:19" ht="30">
      <c r="A101" s="8">
        <v>9</v>
      </c>
      <c r="B101" s="328" t="s">
        <v>240</v>
      </c>
      <c r="C101" s="8" t="s">
        <v>231</v>
      </c>
      <c r="D101" s="8" t="s">
        <v>54</v>
      </c>
      <c r="E101" s="426">
        <f t="shared" si="16"/>
        <v>315</v>
      </c>
      <c r="F101" s="426">
        <v>300</v>
      </c>
      <c r="G101" s="426">
        <v>15</v>
      </c>
      <c r="H101" s="433"/>
      <c r="I101" s="433"/>
      <c r="J101" s="433"/>
      <c r="K101" s="433"/>
      <c r="L101" s="433"/>
      <c r="M101" s="433"/>
      <c r="N101" s="433"/>
      <c r="O101" s="426">
        <f t="shared" si="15"/>
        <v>0</v>
      </c>
      <c r="P101" s="433"/>
      <c r="Q101" s="433"/>
      <c r="R101" s="433"/>
      <c r="S101" s="15"/>
    </row>
    <row r="102" spans="1:19" ht="45">
      <c r="A102" s="8">
        <v>10</v>
      </c>
      <c r="B102" s="328" t="s">
        <v>242</v>
      </c>
      <c r="C102" s="8" t="s">
        <v>225</v>
      </c>
      <c r="D102" s="8" t="s">
        <v>54</v>
      </c>
      <c r="E102" s="426">
        <f t="shared" si="16"/>
        <v>557.79999999999995</v>
      </c>
      <c r="F102" s="426">
        <v>532.79999999999995</v>
      </c>
      <c r="G102" s="426">
        <v>25</v>
      </c>
      <c r="H102" s="433"/>
      <c r="I102" s="433"/>
      <c r="J102" s="433"/>
      <c r="K102" s="433"/>
      <c r="L102" s="433"/>
      <c r="M102" s="433"/>
      <c r="N102" s="433"/>
      <c r="O102" s="426">
        <f t="shared" si="15"/>
        <v>0</v>
      </c>
      <c r="P102" s="433"/>
      <c r="Q102" s="433"/>
      <c r="R102" s="433"/>
      <c r="S102" s="15"/>
    </row>
    <row r="103" spans="1:19" ht="30">
      <c r="A103" s="8">
        <v>11</v>
      </c>
      <c r="B103" s="328" t="s">
        <v>243</v>
      </c>
      <c r="C103" s="8" t="s">
        <v>231</v>
      </c>
      <c r="D103" s="8" t="s">
        <v>55</v>
      </c>
      <c r="E103" s="426">
        <f t="shared" si="16"/>
        <v>244.8</v>
      </c>
      <c r="F103" s="426">
        <v>232.8</v>
      </c>
      <c r="G103" s="426">
        <v>12</v>
      </c>
      <c r="H103" s="433"/>
      <c r="I103" s="433"/>
      <c r="J103" s="433"/>
      <c r="K103" s="433"/>
      <c r="L103" s="433"/>
      <c r="M103" s="433"/>
      <c r="N103" s="433"/>
      <c r="O103" s="426">
        <f t="shared" si="15"/>
        <v>0</v>
      </c>
      <c r="P103" s="433"/>
      <c r="Q103" s="433"/>
      <c r="R103" s="433"/>
      <c r="S103" s="15"/>
    </row>
    <row r="104" spans="1:19" ht="45">
      <c r="A104" s="8">
        <v>12</v>
      </c>
      <c r="B104" s="328" t="s">
        <v>244</v>
      </c>
      <c r="C104" s="8" t="s">
        <v>228</v>
      </c>
      <c r="D104" s="8" t="s">
        <v>55</v>
      </c>
      <c r="E104" s="426">
        <f t="shared" si="16"/>
        <v>244.8</v>
      </c>
      <c r="F104" s="426">
        <v>232.8</v>
      </c>
      <c r="G104" s="426">
        <v>12</v>
      </c>
      <c r="H104" s="433"/>
      <c r="I104" s="433"/>
      <c r="J104" s="433"/>
      <c r="K104" s="433"/>
      <c r="L104" s="433"/>
      <c r="M104" s="433"/>
      <c r="N104" s="433"/>
      <c r="O104" s="426">
        <f t="shared" si="15"/>
        <v>0</v>
      </c>
      <c r="P104" s="433"/>
      <c r="Q104" s="433"/>
      <c r="R104" s="433"/>
      <c r="S104" s="15"/>
    </row>
    <row r="105" spans="1:19">
      <c r="A105" s="6" t="s">
        <v>994</v>
      </c>
      <c r="B105" s="326" t="s">
        <v>246</v>
      </c>
      <c r="C105" s="24"/>
      <c r="D105" s="23"/>
      <c r="E105" s="429">
        <f>SUM(E106:E119)</f>
        <v>10104.370000000001</v>
      </c>
      <c r="F105" s="429">
        <f t="shared" ref="F105:R105" si="18">SUM(F106:F119)</f>
        <v>9623.2099999999991</v>
      </c>
      <c r="G105" s="429">
        <f t="shared" si="18"/>
        <v>481.15999999999997</v>
      </c>
      <c r="H105" s="429">
        <f t="shared" si="18"/>
        <v>0</v>
      </c>
      <c r="I105" s="429"/>
      <c r="J105" s="429"/>
      <c r="K105" s="429"/>
      <c r="L105" s="429"/>
      <c r="M105" s="429"/>
      <c r="N105" s="429"/>
      <c r="O105" s="429">
        <f t="shared" si="18"/>
        <v>1822.1</v>
      </c>
      <c r="P105" s="429">
        <f>SUM(P106:P119)</f>
        <v>1732.1</v>
      </c>
      <c r="Q105" s="429">
        <f t="shared" si="18"/>
        <v>90</v>
      </c>
      <c r="R105" s="429">
        <f t="shared" si="18"/>
        <v>0</v>
      </c>
      <c r="S105" s="16"/>
    </row>
    <row r="106" spans="1:19" ht="30">
      <c r="A106" s="375">
        <v>1</v>
      </c>
      <c r="B106" s="385" t="s">
        <v>813</v>
      </c>
      <c r="C106" s="386" t="s">
        <v>964</v>
      </c>
      <c r="D106" s="375" t="s">
        <v>52</v>
      </c>
      <c r="E106" s="442">
        <f>F106+G106</f>
        <v>766.5</v>
      </c>
      <c r="F106" s="442">
        <v>730</v>
      </c>
      <c r="G106" s="442">
        <v>36.5</v>
      </c>
      <c r="H106" s="442"/>
      <c r="I106" s="442"/>
      <c r="J106" s="442"/>
      <c r="K106" s="442"/>
      <c r="L106" s="442"/>
      <c r="M106" s="442"/>
      <c r="N106" s="442"/>
      <c r="O106" s="442">
        <f>P106+Q106</f>
        <v>698.6</v>
      </c>
      <c r="P106" s="442">
        <v>662.1</v>
      </c>
      <c r="Q106" s="442">
        <v>36.5</v>
      </c>
      <c r="R106" s="439"/>
      <c r="S106" s="375"/>
    </row>
    <row r="107" spans="1:19" ht="30">
      <c r="A107" s="375">
        <v>3</v>
      </c>
      <c r="B107" s="385" t="s">
        <v>910</v>
      </c>
      <c r="C107" s="386" t="s">
        <v>963</v>
      </c>
      <c r="D107" s="375" t="s">
        <v>52</v>
      </c>
      <c r="E107" s="442">
        <f t="shared" ref="E107:E108" si="19">F107+G107</f>
        <v>1123.5</v>
      </c>
      <c r="F107" s="442">
        <v>1070</v>
      </c>
      <c r="G107" s="442">
        <v>53.5</v>
      </c>
      <c r="H107" s="442"/>
      <c r="I107" s="442"/>
      <c r="J107" s="442"/>
      <c r="K107" s="442"/>
      <c r="L107" s="442"/>
      <c r="M107" s="442"/>
      <c r="N107" s="442"/>
      <c r="O107" s="442">
        <f>P107+Q107</f>
        <v>1123.5</v>
      </c>
      <c r="P107" s="442">
        <v>1070</v>
      </c>
      <c r="Q107" s="442">
        <v>53.5</v>
      </c>
      <c r="R107" s="439"/>
      <c r="S107" s="375"/>
    </row>
    <row r="108" spans="1:19" ht="30">
      <c r="A108" s="8">
        <v>5</v>
      </c>
      <c r="B108" s="328" t="s">
        <v>247</v>
      </c>
      <c r="C108" s="8" t="s">
        <v>1029</v>
      </c>
      <c r="D108" s="8">
        <v>2023</v>
      </c>
      <c r="E108" s="426">
        <f t="shared" si="19"/>
        <v>315</v>
      </c>
      <c r="F108" s="426">
        <v>300</v>
      </c>
      <c r="G108" s="426">
        <v>15</v>
      </c>
      <c r="H108" s="433"/>
      <c r="I108" s="433"/>
      <c r="J108" s="433"/>
      <c r="K108" s="433"/>
      <c r="L108" s="433"/>
      <c r="M108" s="433"/>
      <c r="N108" s="433"/>
      <c r="O108" s="426">
        <f t="shared" ref="O108" si="20">P108+Q108</f>
        <v>0</v>
      </c>
      <c r="P108" s="433"/>
      <c r="Q108" s="433"/>
      <c r="R108" s="433"/>
      <c r="S108" s="8"/>
    </row>
    <row r="109" spans="1:19" ht="30">
      <c r="A109" s="8">
        <v>6</v>
      </c>
      <c r="B109" s="328" t="s">
        <v>249</v>
      </c>
      <c r="C109" s="8" t="s">
        <v>1030</v>
      </c>
      <c r="D109" s="8" t="s">
        <v>53</v>
      </c>
      <c r="E109" s="426">
        <f t="shared" si="16"/>
        <v>945</v>
      </c>
      <c r="F109" s="426">
        <v>900</v>
      </c>
      <c r="G109" s="426">
        <v>45</v>
      </c>
      <c r="H109" s="433"/>
      <c r="I109" s="433"/>
      <c r="J109" s="433"/>
      <c r="K109" s="433"/>
      <c r="L109" s="433"/>
      <c r="M109" s="433"/>
      <c r="N109" s="433"/>
      <c r="O109" s="426">
        <f t="shared" si="15"/>
        <v>0</v>
      </c>
      <c r="P109" s="433"/>
      <c r="Q109" s="433"/>
      <c r="R109" s="433"/>
      <c r="S109" s="8"/>
    </row>
    <row r="110" spans="1:19" ht="30">
      <c r="A110" s="8">
        <v>7</v>
      </c>
      <c r="B110" s="328" t="s">
        <v>252</v>
      </c>
      <c r="C110" s="8" t="s">
        <v>964</v>
      </c>
      <c r="D110" s="8" t="s">
        <v>53</v>
      </c>
      <c r="E110" s="426">
        <f t="shared" si="16"/>
        <v>420</v>
      </c>
      <c r="F110" s="426">
        <v>400</v>
      </c>
      <c r="G110" s="426">
        <v>20</v>
      </c>
      <c r="H110" s="433"/>
      <c r="I110" s="433"/>
      <c r="J110" s="433"/>
      <c r="K110" s="433"/>
      <c r="L110" s="433"/>
      <c r="M110" s="433"/>
      <c r="N110" s="433"/>
      <c r="O110" s="426">
        <f t="shared" si="15"/>
        <v>0</v>
      </c>
      <c r="P110" s="433"/>
      <c r="Q110" s="433"/>
      <c r="R110" s="433"/>
      <c r="S110" s="8"/>
    </row>
    <row r="111" spans="1:19" ht="30">
      <c r="A111" s="8">
        <v>8</v>
      </c>
      <c r="B111" s="328" t="s">
        <v>1092</v>
      </c>
      <c r="C111" s="8" t="s">
        <v>1089</v>
      </c>
      <c r="D111" s="8" t="s">
        <v>53</v>
      </c>
      <c r="E111" s="426">
        <f t="shared" si="16"/>
        <v>404.25</v>
      </c>
      <c r="F111" s="426">
        <v>385</v>
      </c>
      <c r="G111" s="426">
        <v>19.25</v>
      </c>
      <c r="H111" s="433"/>
      <c r="I111" s="433"/>
      <c r="J111" s="433"/>
      <c r="K111" s="433"/>
      <c r="L111" s="433"/>
      <c r="M111" s="433"/>
      <c r="N111" s="433"/>
      <c r="O111" s="426">
        <f t="shared" si="15"/>
        <v>0</v>
      </c>
      <c r="P111" s="433"/>
      <c r="Q111" s="433"/>
      <c r="R111" s="433"/>
      <c r="S111" s="8"/>
    </row>
    <row r="112" spans="1:19" ht="30">
      <c r="A112" s="8">
        <v>9</v>
      </c>
      <c r="B112" s="328" t="s">
        <v>257</v>
      </c>
      <c r="C112" s="8" t="s">
        <v>963</v>
      </c>
      <c r="D112" s="8" t="s">
        <v>53</v>
      </c>
      <c r="E112" s="426">
        <f t="shared" si="16"/>
        <v>840</v>
      </c>
      <c r="F112" s="426">
        <v>800</v>
      </c>
      <c r="G112" s="426">
        <v>40</v>
      </c>
      <c r="H112" s="433"/>
      <c r="I112" s="433"/>
      <c r="J112" s="433"/>
      <c r="K112" s="433"/>
      <c r="L112" s="433"/>
      <c r="M112" s="433"/>
      <c r="N112" s="433"/>
      <c r="O112" s="426">
        <f t="shared" si="15"/>
        <v>0</v>
      </c>
      <c r="P112" s="433"/>
      <c r="Q112" s="433"/>
      <c r="R112" s="433"/>
      <c r="S112" s="8"/>
    </row>
    <row r="113" spans="1:19" ht="30">
      <c r="A113" s="8">
        <v>10</v>
      </c>
      <c r="B113" s="328" t="s">
        <v>1091</v>
      </c>
      <c r="C113" s="8" t="s">
        <v>1089</v>
      </c>
      <c r="D113" s="8" t="s">
        <v>54</v>
      </c>
      <c r="E113" s="426">
        <f t="shared" si="16"/>
        <v>525</v>
      </c>
      <c r="F113" s="426">
        <v>500</v>
      </c>
      <c r="G113" s="426">
        <v>25</v>
      </c>
      <c r="H113" s="433"/>
      <c r="I113" s="433"/>
      <c r="J113" s="433"/>
      <c r="K113" s="433"/>
      <c r="L113" s="433"/>
      <c r="M113" s="433"/>
      <c r="N113" s="433"/>
      <c r="O113" s="426">
        <f t="shared" si="15"/>
        <v>0</v>
      </c>
      <c r="P113" s="433"/>
      <c r="Q113" s="433"/>
      <c r="R113" s="433"/>
      <c r="S113" s="8"/>
    </row>
    <row r="114" spans="1:19" ht="30">
      <c r="A114" s="8">
        <v>11</v>
      </c>
      <c r="B114" s="328" t="s">
        <v>1090</v>
      </c>
      <c r="C114" s="8" t="s">
        <v>1089</v>
      </c>
      <c r="D114" s="8" t="s">
        <v>54</v>
      </c>
      <c r="E114" s="426">
        <f t="shared" si="16"/>
        <v>630</v>
      </c>
      <c r="F114" s="426">
        <v>600</v>
      </c>
      <c r="G114" s="426">
        <v>30</v>
      </c>
      <c r="H114" s="433"/>
      <c r="I114" s="433"/>
      <c r="J114" s="433"/>
      <c r="K114" s="433"/>
      <c r="L114" s="433"/>
      <c r="M114" s="433"/>
      <c r="N114" s="433"/>
      <c r="O114" s="426">
        <f t="shared" si="15"/>
        <v>0</v>
      </c>
      <c r="P114" s="433"/>
      <c r="Q114" s="433"/>
      <c r="R114" s="433"/>
      <c r="S114" s="8"/>
    </row>
    <row r="115" spans="1:19" ht="30">
      <c r="A115" s="8">
        <v>12</v>
      </c>
      <c r="B115" s="328" t="s">
        <v>264</v>
      </c>
      <c r="C115" s="8" t="s">
        <v>1029</v>
      </c>
      <c r="D115" s="8" t="s">
        <v>54</v>
      </c>
      <c r="E115" s="426">
        <f t="shared" si="16"/>
        <v>945</v>
      </c>
      <c r="F115" s="426">
        <v>900</v>
      </c>
      <c r="G115" s="426">
        <v>45</v>
      </c>
      <c r="H115" s="433"/>
      <c r="I115" s="433"/>
      <c r="J115" s="433"/>
      <c r="K115" s="433"/>
      <c r="L115" s="433"/>
      <c r="M115" s="433"/>
      <c r="N115" s="433"/>
      <c r="O115" s="426">
        <f t="shared" si="15"/>
        <v>0</v>
      </c>
      <c r="P115" s="433"/>
      <c r="Q115" s="433"/>
      <c r="R115" s="433"/>
      <c r="S115" s="15"/>
    </row>
    <row r="116" spans="1:19" ht="30">
      <c r="A116" s="8">
        <v>13</v>
      </c>
      <c r="B116" s="328" t="s">
        <v>912</v>
      </c>
      <c r="C116" s="8" t="s">
        <v>963</v>
      </c>
      <c r="D116" s="8" t="s">
        <v>54</v>
      </c>
      <c r="E116" s="426">
        <f t="shared" si="16"/>
        <v>945</v>
      </c>
      <c r="F116" s="426">
        <v>900</v>
      </c>
      <c r="G116" s="426">
        <v>45</v>
      </c>
      <c r="H116" s="433"/>
      <c r="I116" s="433"/>
      <c r="J116" s="433"/>
      <c r="K116" s="433"/>
      <c r="L116" s="433"/>
      <c r="M116" s="433"/>
      <c r="N116" s="433"/>
      <c r="O116" s="426">
        <f t="shared" si="15"/>
        <v>0</v>
      </c>
      <c r="P116" s="433"/>
      <c r="Q116" s="433"/>
      <c r="R116" s="433"/>
      <c r="S116" s="8"/>
    </row>
    <row r="117" spans="1:19" ht="30">
      <c r="A117" s="8">
        <v>14</v>
      </c>
      <c r="B117" s="328" t="s">
        <v>267</v>
      </c>
      <c r="C117" s="8" t="s">
        <v>1031</v>
      </c>
      <c r="D117" s="8" t="s">
        <v>55</v>
      </c>
      <c r="E117" s="426">
        <f t="shared" si="16"/>
        <v>577.5</v>
      </c>
      <c r="F117" s="426">
        <v>550</v>
      </c>
      <c r="G117" s="426">
        <v>27.5</v>
      </c>
      <c r="H117" s="433"/>
      <c r="I117" s="433"/>
      <c r="J117" s="433"/>
      <c r="K117" s="433"/>
      <c r="L117" s="433"/>
      <c r="M117" s="433"/>
      <c r="N117" s="433"/>
      <c r="O117" s="426">
        <f t="shared" si="15"/>
        <v>0</v>
      </c>
      <c r="P117" s="433"/>
      <c r="Q117" s="433"/>
      <c r="R117" s="433"/>
      <c r="S117" s="15"/>
    </row>
    <row r="118" spans="1:19" ht="30">
      <c r="A118" s="8">
        <v>15</v>
      </c>
      <c r="B118" s="328" t="s">
        <v>270</v>
      </c>
      <c r="C118" s="8" t="s">
        <v>1032</v>
      </c>
      <c r="D118" s="8" t="s">
        <v>55</v>
      </c>
      <c r="E118" s="426">
        <f t="shared" si="16"/>
        <v>735</v>
      </c>
      <c r="F118" s="426">
        <v>700</v>
      </c>
      <c r="G118" s="426">
        <v>35</v>
      </c>
      <c r="H118" s="433"/>
      <c r="I118" s="433"/>
      <c r="J118" s="433"/>
      <c r="K118" s="433"/>
      <c r="L118" s="433"/>
      <c r="M118" s="433"/>
      <c r="N118" s="433"/>
      <c r="O118" s="426">
        <f t="shared" si="15"/>
        <v>0</v>
      </c>
      <c r="P118" s="433"/>
      <c r="Q118" s="433"/>
      <c r="R118" s="433"/>
      <c r="S118" s="8"/>
    </row>
    <row r="119" spans="1:19" ht="30">
      <c r="A119" s="8">
        <v>16</v>
      </c>
      <c r="B119" s="328" t="s">
        <v>272</v>
      </c>
      <c r="C119" s="8" t="s">
        <v>1033</v>
      </c>
      <c r="D119" s="8" t="s">
        <v>55</v>
      </c>
      <c r="E119" s="426">
        <f t="shared" si="16"/>
        <v>932.62</v>
      </c>
      <c r="F119" s="426">
        <v>888.21</v>
      </c>
      <c r="G119" s="426">
        <v>44.41</v>
      </c>
      <c r="H119" s="433"/>
      <c r="I119" s="433"/>
      <c r="J119" s="433"/>
      <c r="K119" s="433"/>
      <c r="L119" s="433"/>
      <c r="M119" s="433"/>
      <c r="N119" s="433"/>
      <c r="O119" s="426">
        <f t="shared" si="15"/>
        <v>0</v>
      </c>
      <c r="P119" s="433"/>
      <c r="Q119" s="433"/>
      <c r="R119" s="433"/>
      <c r="S119" s="8"/>
    </row>
    <row r="120" spans="1:19">
      <c r="A120" s="25" t="s">
        <v>995</v>
      </c>
      <c r="B120" s="335" t="s">
        <v>275</v>
      </c>
      <c r="C120" s="26"/>
      <c r="D120" s="23"/>
      <c r="E120" s="429">
        <f>SUM(E121:E134)</f>
        <v>10115.23</v>
      </c>
      <c r="F120" s="429">
        <f t="shared" ref="F120:R120" si="21">SUM(F121:F134)</f>
        <v>9633.23</v>
      </c>
      <c r="G120" s="429">
        <f t="shared" si="21"/>
        <v>482</v>
      </c>
      <c r="H120" s="429">
        <f t="shared" si="21"/>
        <v>0</v>
      </c>
      <c r="I120" s="429"/>
      <c r="J120" s="429"/>
      <c r="K120" s="429"/>
      <c r="L120" s="429"/>
      <c r="M120" s="429"/>
      <c r="N120" s="429"/>
      <c r="O120" s="429">
        <f t="shared" si="21"/>
        <v>1820.8</v>
      </c>
      <c r="P120" s="429">
        <f t="shared" si="21"/>
        <v>1733.8</v>
      </c>
      <c r="Q120" s="429">
        <f t="shared" si="21"/>
        <v>87</v>
      </c>
      <c r="R120" s="429">
        <f t="shared" si="21"/>
        <v>0</v>
      </c>
      <c r="S120" s="16"/>
    </row>
    <row r="121" spans="1:19" ht="45">
      <c r="A121" s="27">
        <v>1</v>
      </c>
      <c r="B121" s="336" t="s">
        <v>276</v>
      </c>
      <c r="C121" s="27" t="s">
        <v>962</v>
      </c>
      <c r="D121" s="27" t="s">
        <v>52</v>
      </c>
      <c r="E121" s="426">
        <f t="shared" si="16"/>
        <v>1316.8</v>
      </c>
      <c r="F121" s="426">
        <v>1253.8</v>
      </c>
      <c r="G121" s="426">
        <v>63</v>
      </c>
      <c r="H121" s="433">
        <v>0</v>
      </c>
      <c r="I121" s="433"/>
      <c r="J121" s="433"/>
      <c r="K121" s="433"/>
      <c r="L121" s="433"/>
      <c r="M121" s="433"/>
      <c r="N121" s="433"/>
      <c r="O121" s="426">
        <f t="shared" si="15"/>
        <v>1316.8</v>
      </c>
      <c r="P121" s="426">
        <v>1253.8</v>
      </c>
      <c r="Q121" s="426">
        <v>63</v>
      </c>
      <c r="R121" s="433"/>
      <c r="S121" s="15"/>
    </row>
    <row r="122" spans="1:19" ht="30">
      <c r="A122" s="27">
        <v>2</v>
      </c>
      <c r="B122" s="336" t="s">
        <v>279</v>
      </c>
      <c r="C122" s="27" t="s">
        <v>961</v>
      </c>
      <c r="D122" s="27" t="s">
        <v>52</v>
      </c>
      <c r="E122" s="426">
        <f t="shared" si="16"/>
        <v>420</v>
      </c>
      <c r="F122" s="426">
        <v>400</v>
      </c>
      <c r="G122" s="426">
        <v>20</v>
      </c>
      <c r="H122" s="433">
        <v>0</v>
      </c>
      <c r="I122" s="433"/>
      <c r="J122" s="433"/>
      <c r="K122" s="433"/>
      <c r="L122" s="433"/>
      <c r="M122" s="433"/>
      <c r="N122" s="433"/>
      <c r="O122" s="426">
        <f t="shared" si="15"/>
        <v>420</v>
      </c>
      <c r="P122" s="426">
        <v>400</v>
      </c>
      <c r="Q122" s="426">
        <v>20</v>
      </c>
      <c r="R122" s="433"/>
      <c r="S122" s="15"/>
    </row>
    <row r="123" spans="1:19" ht="30">
      <c r="A123" s="27">
        <v>3</v>
      </c>
      <c r="B123" s="336" t="s">
        <v>282</v>
      </c>
      <c r="C123" s="27" t="s">
        <v>275</v>
      </c>
      <c r="D123" s="27" t="s">
        <v>52</v>
      </c>
      <c r="E123" s="426">
        <f t="shared" si="16"/>
        <v>84</v>
      </c>
      <c r="F123" s="426">
        <v>80</v>
      </c>
      <c r="G123" s="426">
        <v>4</v>
      </c>
      <c r="H123" s="433">
        <v>0</v>
      </c>
      <c r="I123" s="433"/>
      <c r="J123" s="433"/>
      <c r="K123" s="433"/>
      <c r="L123" s="433"/>
      <c r="M123" s="433"/>
      <c r="N123" s="433"/>
      <c r="O123" s="426">
        <f t="shared" si="15"/>
        <v>84</v>
      </c>
      <c r="P123" s="426">
        <v>80</v>
      </c>
      <c r="Q123" s="426">
        <v>4</v>
      </c>
      <c r="R123" s="433"/>
      <c r="S123" s="15"/>
    </row>
    <row r="124" spans="1:19" ht="30">
      <c r="A124" s="27">
        <v>4</v>
      </c>
      <c r="B124" s="336" t="s">
        <v>284</v>
      </c>
      <c r="C124" s="27" t="s">
        <v>1034</v>
      </c>
      <c r="D124" s="27" t="s">
        <v>53</v>
      </c>
      <c r="E124" s="426">
        <f t="shared" si="16"/>
        <v>525</v>
      </c>
      <c r="F124" s="426">
        <v>500</v>
      </c>
      <c r="G124" s="426">
        <v>25</v>
      </c>
      <c r="H124" s="433">
        <v>0</v>
      </c>
      <c r="I124" s="433"/>
      <c r="J124" s="433"/>
      <c r="K124" s="433"/>
      <c r="L124" s="433"/>
      <c r="M124" s="433"/>
      <c r="N124" s="433"/>
      <c r="O124" s="426">
        <f t="shared" si="15"/>
        <v>0</v>
      </c>
      <c r="P124" s="433"/>
      <c r="Q124" s="433"/>
      <c r="R124" s="433"/>
      <c r="S124" s="15"/>
    </row>
    <row r="125" spans="1:19" ht="30">
      <c r="A125" s="27">
        <v>5</v>
      </c>
      <c r="B125" s="336" t="s">
        <v>287</v>
      </c>
      <c r="C125" s="27" t="s">
        <v>1035</v>
      </c>
      <c r="D125" s="27" t="s">
        <v>53</v>
      </c>
      <c r="E125" s="426">
        <f t="shared" si="16"/>
        <v>630</v>
      </c>
      <c r="F125" s="426">
        <v>600</v>
      </c>
      <c r="G125" s="426">
        <v>30</v>
      </c>
      <c r="H125" s="433">
        <v>0</v>
      </c>
      <c r="I125" s="433"/>
      <c r="J125" s="433"/>
      <c r="K125" s="433"/>
      <c r="L125" s="433"/>
      <c r="M125" s="433"/>
      <c r="N125" s="433"/>
      <c r="O125" s="426">
        <f t="shared" si="15"/>
        <v>0</v>
      </c>
      <c r="P125" s="433"/>
      <c r="Q125" s="433"/>
      <c r="R125" s="433"/>
      <c r="S125" s="15"/>
    </row>
    <row r="126" spans="1:19" ht="30">
      <c r="A126" s="27">
        <v>6</v>
      </c>
      <c r="B126" s="336" t="s">
        <v>290</v>
      </c>
      <c r="C126" s="27" t="s">
        <v>1036</v>
      </c>
      <c r="D126" s="27" t="s">
        <v>53</v>
      </c>
      <c r="E126" s="426">
        <f t="shared" si="16"/>
        <v>420</v>
      </c>
      <c r="F126" s="426">
        <v>400</v>
      </c>
      <c r="G126" s="426">
        <v>20</v>
      </c>
      <c r="H126" s="433">
        <v>0</v>
      </c>
      <c r="I126" s="433"/>
      <c r="J126" s="433"/>
      <c r="K126" s="433"/>
      <c r="L126" s="433"/>
      <c r="M126" s="433"/>
      <c r="N126" s="433"/>
      <c r="O126" s="426">
        <f t="shared" si="15"/>
        <v>0</v>
      </c>
      <c r="P126" s="433"/>
      <c r="Q126" s="433"/>
      <c r="R126" s="433"/>
      <c r="S126" s="15"/>
    </row>
    <row r="127" spans="1:19" ht="30">
      <c r="A127" s="27">
        <v>7</v>
      </c>
      <c r="B127" s="336" t="s">
        <v>292</v>
      </c>
      <c r="C127" s="27" t="s">
        <v>1037</v>
      </c>
      <c r="D127" s="27" t="s">
        <v>53</v>
      </c>
      <c r="E127" s="426">
        <f t="shared" si="16"/>
        <v>735</v>
      </c>
      <c r="F127" s="426">
        <v>700</v>
      </c>
      <c r="G127" s="426">
        <v>35</v>
      </c>
      <c r="H127" s="433">
        <v>0</v>
      </c>
      <c r="I127" s="433"/>
      <c r="J127" s="433"/>
      <c r="K127" s="433"/>
      <c r="L127" s="433"/>
      <c r="M127" s="433"/>
      <c r="N127" s="433"/>
      <c r="O127" s="426">
        <f t="shared" si="15"/>
        <v>0</v>
      </c>
      <c r="P127" s="433"/>
      <c r="Q127" s="433"/>
      <c r="R127" s="433"/>
      <c r="S127" s="15"/>
    </row>
    <row r="128" spans="1:19" ht="30">
      <c r="A128" s="27">
        <v>8</v>
      </c>
      <c r="B128" s="336" t="s">
        <v>293</v>
      </c>
      <c r="C128" s="27" t="s">
        <v>1035</v>
      </c>
      <c r="D128" s="27" t="s">
        <v>53</v>
      </c>
      <c r="E128" s="426">
        <f t="shared" si="16"/>
        <v>1260</v>
      </c>
      <c r="F128" s="426">
        <v>1200</v>
      </c>
      <c r="G128" s="426">
        <v>60</v>
      </c>
      <c r="H128" s="433">
        <v>0</v>
      </c>
      <c r="I128" s="433"/>
      <c r="J128" s="433"/>
      <c r="K128" s="433"/>
      <c r="L128" s="433"/>
      <c r="M128" s="433"/>
      <c r="N128" s="433"/>
      <c r="O128" s="426">
        <f t="shared" si="15"/>
        <v>0</v>
      </c>
      <c r="P128" s="433"/>
      <c r="Q128" s="433"/>
      <c r="R128" s="433"/>
      <c r="S128" s="15"/>
    </row>
    <row r="129" spans="1:19" ht="45">
      <c r="A129" s="27">
        <v>9</v>
      </c>
      <c r="B129" s="336" t="s">
        <v>294</v>
      </c>
      <c r="C129" s="27" t="s">
        <v>962</v>
      </c>
      <c r="D129" s="27" t="s">
        <v>54</v>
      </c>
      <c r="E129" s="426">
        <f t="shared" si="16"/>
        <v>420</v>
      </c>
      <c r="F129" s="426">
        <v>400</v>
      </c>
      <c r="G129" s="426">
        <v>20</v>
      </c>
      <c r="H129" s="433">
        <v>0</v>
      </c>
      <c r="I129" s="433"/>
      <c r="J129" s="433"/>
      <c r="K129" s="433"/>
      <c r="L129" s="433"/>
      <c r="M129" s="433"/>
      <c r="N129" s="433"/>
      <c r="O129" s="426">
        <f t="shared" si="15"/>
        <v>0</v>
      </c>
      <c r="P129" s="433"/>
      <c r="Q129" s="433"/>
      <c r="R129" s="433"/>
      <c r="S129" s="15"/>
    </row>
    <row r="130" spans="1:19" ht="30">
      <c r="A130" s="27">
        <v>10</v>
      </c>
      <c r="B130" s="336" t="s">
        <v>295</v>
      </c>
      <c r="C130" s="27" t="s">
        <v>275</v>
      </c>
      <c r="D130" s="27" t="s">
        <v>54</v>
      </c>
      <c r="E130" s="426">
        <f t="shared" si="16"/>
        <v>735</v>
      </c>
      <c r="F130" s="426">
        <v>700</v>
      </c>
      <c r="G130" s="426">
        <v>35</v>
      </c>
      <c r="H130" s="433">
        <v>0</v>
      </c>
      <c r="I130" s="433"/>
      <c r="J130" s="433"/>
      <c r="K130" s="433"/>
      <c r="L130" s="433"/>
      <c r="M130" s="433"/>
      <c r="N130" s="433"/>
      <c r="O130" s="426">
        <f t="shared" si="15"/>
        <v>0</v>
      </c>
      <c r="P130" s="433"/>
      <c r="Q130" s="433"/>
      <c r="R130" s="433"/>
      <c r="S130" s="15"/>
    </row>
    <row r="131" spans="1:19" ht="30">
      <c r="A131" s="27">
        <v>11</v>
      </c>
      <c r="B131" s="336" t="s">
        <v>296</v>
      </c>
      <c r="C131" s="27" t="s">
        <v>1035</v>
      </c>
      <c r="D131" s="27" t="s">
        <v>54</v>
      </c>
      <c r="E131" s="426">
        <f t="shared" si="16"/>
        <v>1050</v>
      </c>
      <c r="F131" s="426">
        <v>1000</v>
      </c>
      <c r="G131" s="426">
        <v>50</v>
      </c>
      <c r="H131" s="433">
        <v>0</v>
      </c>
      <c r="I131" s="433"/>
      <c r="J131" s="433"/>
      <c r="K131" s="433"/>
      <c r="L131" s="433"/>
      <c r="M131" s="433"/>
      <c r="N131" s="433"/>
      <c r="O131" s="426">
        <f t="shared" si="15"/>
        <v>0</v>
      </c>
      <c r="P131" s="433"/>
      <c r="Q131" s="433"/>
      <c r="R131" s="433"/>
      <c r="S131" s="15"/>
    </row>
    <row r="132" spans="1:19" ht="45">
      <c r="A132" s="27">
        <v>12</v>
      </c>
      <c r="B132" s="336" t="s">
        <v>297</v>
      </c>
      <c r="C132" s="27" t="s">
        <v>1038</v>
      </c>
      <c r="D132" s="27" t="s">
        <v>55</v>
      </c>
      <c r="E132" s="426">
        <f t="shared" si="16"/>
        <v>1050</v>
      </c>
      <c r="F132" s="426">
        <v>1000</v>
      </c>
      <c r="G132" s="426">
        <v>50</v>
      </c>
      <c r="H132" s="433">
        <v>0</v>
      </c>
      <c r="I132" s="433"/>
      <c r="J132" s="433"/>
      <c r="K132" s="433"/>
      <c r="L132" s="433"/>
      <c r="M132" s="433"/>
      <c r="N132" s="433"/>
      <c r="O132" s="426">
        <f t="shared" si="15"/>
        <v>0</v>
      </c>
      <c r="P132" s="433"/>
      <c r="Q132" s="433"/>
      <c r="R132" s="433"/>
      <c r="S132" s="15"/>
    </row>
    <row r="133" spans="1:19" ht="45">
      <c r="A133" s="27">
        <v>13</v>
      </c>
      <c r="B133" s="336" t="s">
        <v>299</v>
      </c>
      <c r="C133" s="27" t="s">
        <v>1039</v>
      </c>
      <c r="D133" s="27" t="s">
        <v>55</v>
      </c>
      <c r="E133" s="426">
        <f t="shared" si="16"/>
        <v>1050</v>
      </c>
      <c r="F133" s="426">
        <v>1000</v>
      </c>
      <c r="G133" s="426">
        <v>50</v>
      </c>
      <c r="H133" s="433">
        <v>0</v>
      </c>
      <c r="I133" s="433"/>
      <c r="J133" s="433"/>
      <c r="K133" s="433"/>
      <c r="L133" s="433"/>
      <c r="M133" s="433"/>
      <c r="N133" s="433"/>
      <c r="O133" s="426">
        <f t="shared" si="15"/>
        <v>0</v>
      </c>
      <c r="P133" s="433"/>
      <c r="Q133" s="433"/>
      <c r="R133" s="433"/>
      <c r="S133" s="15"/>
    </row>
    <row r="134" spans="1:19" ht="45">
      <c r="A134" s="27">
        <v>14</v>
      </c>
      <c r="B134" s="336" t="s">
        <v>301</v>
      </c>
      <c r="C134" s="27" t="s">
        <v>1039</v>
      </c>
      <c r="D134" s="27" t="s">
        <v>55</v>
      </c>
      <c r="E134" s="426">
        <f t="shared" si="16"/>
        <v>419.43</v>
      </c>
      <c r="F134" s="426">
        <v>399.43</v>
      </c>
      <c r="G134" s="426">
        <v>20</v>
      </c>
      <c r="H134" s="433">
        <v>0</v>
      </c>
      <c r="I134" s="433"/>
      <c r="J134" s="433"/>
      <c r="K134" s="433"/>
      <c r="L134" s="433"/>
      <c r="M134" s="433"/>
      <c r="N134" s="433"/>
      <c r="O134" s="426">
        <f t="shared" si="15"/>
        <v>0</v>
      </c>
      <c r="P134" s="433"/>
      <c r="Q134" s="433"/>
      <c r="R134" s="433"/>
      <c r="S134" s="15"/>
    </row>
    <row r="135" spans="1:19">
      <c r="A135" s="6" t="s">
        <v>996</v>
      </c>
      <c r="B135" s="326" t="s">
        <v>303</v>
      </c>
      <c r="C135" s="24"/>
      <c r="D135" s="23"/>
      <c r="E135" s="429">
        <f>SUM(E136:E144)</f>
        <v>11092.08</v>
      </c>
      <c r="F135" s="429">
        <f t="shared" ref="F135:R135" si="22">SUM(F136:F144)</f>
        <v>10563.98</v>
      </c>
      <c r="G135" s="429">
        <f t="shared" si="22"/>
        <v>528.1</v>
      </c>
      <c r="H135" s="429">
        <f t="shared" si="22"/>
        <v>0</v>
      </c>
      <c r="I135" s="429"/>
      <c r="J135" s="429"/>
      <c r="K135" s="429"/>
      <c r="L135" s="429"/>
      <c r="M135" s="429"/>
      <c r="N135" s="429"/>
      <c r="O135" s="429">
        <f t="shared" si="22"/>
        <v>1446.05</v>
      </c>
      <c r="P135" s="429">
        <f t="shared" si="22"/>
        <v>1351</v>
      </c>
      <c r="Q135" s="429">
        <f t="shared" si="22"/>
        <v>95.05</v>
      </c>
      <c r="R135" s="429">
        <f t="shared" si="22"/>
        <v>0</v>
      </c>
      <c r="S135" s="16"/>
    </row>
    <row r="136" spans="1:19" ht="45">
      <c r="A136" s="8">
        <v>1</v>
      </c>
      <c r="B136" s="328" t="s">
        <v>304</v>
      </c>
      <c r="C136" s="8" t="s">
        <v>303</v>
      </c>
      <c r="D136" s="27" t="s">
        <v>916</v>
      </c>
      <c r="E136" s="426">
        <f t="shared" si="16"/>
        <v>1996.05</v>
      </c>
      <c r="F136" s="426">
        <v>1901</v>
      </c>
      <c r="G136" s="426">
        <v>95.05</v>
      </c>
      <c r="H136" s="433">
        <v>0</v>
      </c>
      <c r="I136" s="433"/>
      <c r="J136" s="433"/>
      <c r="K136" s="433"/>
      <c r="L136" s="433"/>
      <c r="M136" s="433"/>
      <c r="N136" s="433"/>
      <c r="O136" s="426">
        <f t="shared" si="15"/>
        <v>1446.05</v>
      </c>
      <c r="P136" s="426">
        <f>1901-550</f>
        <v>1351</v>
      </c>
      <c r="Q136" s="426">
        <v>95.05</v>
      </c>
      <c r="R136" s="433"/>
      <c r="S136" s="15"/>
    </row>
    <row r="137" spans="1:19" ht="45">
      <c r="A137" s="8">
        <v>2</v>
      </c>
      <c r="B137" s="328" t="s">
        <v>306</v>
      </c>
      <c r="C137" s="8" t="s">
        <v>1040</v>
      </c>
      <c r="D137" s="8" t="s">
        <v>53</v>
      </c>
      <c r="E137" s="426">
        <f t="shared" si="16"/>
        <v>2191.25</v>
      </c>
      <c r="F137" s="426">
        <v>2087</v>
      </c>
      <c r="G137" s="426">
        <v>104.25</v>
      </c>
      <c r="H137" s="433">
        <v>0</v>
      </c>
      <c r="I137" s="433"/>
      <c r="J137" s="433"/>
      <c r="K137" s="433"/>
      <c r="L137" s="433"/>
      <c r="M137" s="433"/>
      <c r="N137" s="433"/>
      <c r="O137" s="426">
        <f t="shared" si="15"/>
        <v>0</v>
      </c>
      <c r="P137" s="433"/>
      <c r="Q137" s="433"/>
      <c r="R137" s="433"/>
      <c r="S137" s="15"/>
    </row>
    <row r="138" spans="1:19" ht="30">
      <c r="A138" s="8">
        <v>3</v>
      </c>
      <c r="B138" s="328" t="s">
        <v>309</v>
      </c>
      <c r="C138" s="8" t="s">
        <v>1041</v>
      </c>
      <c r="D138" s="8" t="s">
        <v>53</v>
      </c>
      <c r="E138" s="426">
        <f t="shared" si="16"/>
        <v>420</v>
      </c>
      <c r="F138" s="426">
        <v>400</v>
      </c>
      <c r="G138" s="426">
        <v>20</v>
      </c>
      <c r="H138" s="433">
        <v>0</v>
      </c>
      <c r="I138" s="433"/>
      <c r="J138" s="433"/>
      <c r="K138" s="433"/>
      <c r="L138" s="433"/>
      <c r="M138" s="433"/>
      <c r="N138" s="433"/>
      <c r="O138" s="426">
        <f t="shared" si="15"/>
        <v>0</v>
      </c>
      <c r="P138" s="433"/>
      <c r="Q138" s="433"/>
      <c r="R138" s="433"/>
      <c r="S138" s="15"/>
    </row>
    <row r="139" spans="1:19" ht="30">
      <c r="A139" s="8">
        <v>4</v>
      </c>
      <c r="B139" s="328" t="s">
        <v>312</v>
      </c>
      <c r="C139" s="8" t="s">
        <v>1042</v>
      </c>
      <c r="D139" s="8" t="s">
        <v>53</v>
      </c>
      <c r="E139" s="426">
        <f t="shared" si="16"/>
        <v>420</v>
      </c>
      <c r="F139" s="426">
        <v>400</v>
      </c>
      <c r="G139" s="426">
        <v>20</v>
      </c>
      <c r="H139" s="433">
        <v>0</v>
      </c>
      <c r="I139" s="433"/>
      <c r="J139" s="433"/>
      <c r="K139" s="433"/>
      <c r="L139" s="433"/>
      <c r="M139" s="433"/>
      <c r="N139" s="433"/>
      <c r="O139" s="426">
        <f t="shared" si="15"/>
        <v>0</v>
      </c>
      <c r="P139" s="433"/>
      <c r="Q139" s="433"/>
      <c r="R139" s="433"/>
      <c r="S139" s="15"/>
    </row>
    <row r="140" spans="1:19" ht="60">
      <c r="A140" s="8">
        <v>5</v>
      </c>
      <c r="B140" s="328" t="s">
        <v>314</v>
      </c>
      <c r="C140" s="8" t="s">
        <v>303</v>
      </c>
      <c r="D140" s="27" t="s">
        <v>54</v>
      </c>
      <c r="E140" s="426">
        <f t="shared" si="16"/>
        <v>2191.35</v>
      </c>
      <c r="F140" s="426">
        <v>2087</v>
      </c>
      <c r="G140" s="426">
        <v>104.35</v>
      </c>
      <c r="H140" s="433"/>
      <c r="I140" s="433"/>
      <c r="J140" s="433"/>
      <c r="K140" s="433"/>
      <c r="L140" s="433"/>
      <c r="M140" s="433"/>
      <c r="N140" s="433"/>
      <c r="O140" s="426">
        <f t="shared" si="15"/>
        <v>0</v>
      </c>
      <c r="P140" s="433"/>
      <c r="Q140" s="433"/>
      <c r="R140" s="433"/>
      <c r="S140" s="15"/>
    </row>
    <row r="141" spans="1:19" ht="45">
      <c r="A141" s="8">
        <v>6</v>
      </c>
      <c r="B141" s="328" t="s">
        <v>316</v>
      </c>
      <c r="C141" s="8" t="s">
        <v>1043</v>
      </c>
      <c r="D141" s="27" t="s">
        <v>54</v>
      </c>
      <c r="E141" s="426">
        <f t="shared" si="16"/>
        <v>420</v>
      </c>
      <c r="F141" s="426">
        <v>400</v>
      </c>
      <c r="G141" s="426">
        <v>20</v>
      </c>
      <c r="H141" s="433">
        <v>0</v>
      </c>
      <c r="I141" s="433"/>
      <c r="J141" s="433"/>
      <c r="K141" s="433"/>
      <c r="L141" s="433"/>
      <c r="M141" s="433"/>
      <c r="N141" s="433"/>
      <c r="O141" s="426">
        <f t="shared" si="15"/>
        <v>0</v>
      </c>
      <c r="P141" s="433"/>
      <c r="Q141" s="433"/>
      <c r="R141" s="433"/>
      <c r="S141" s="15"/>
    </row>
    <row r="142" spans="1:19" ht="45">
      <c r="A142" s="8">
        <v>7</v>
      </c>
      <c r="B142" s="328" t="s">
        <v>319</v>
      </c>
      <c r="C142" s="8" t="s">
        <v>1044</v>
      </c>
      <c r="D142" s="27" t="s">
        <v>54</v>
      </c>
      <c r="E142" s="426">
        <f t="shared" si="16"/>
        <v>420</v>
      </c>
      <c r="F142" s="426">
        <v>400</v>
      </c>
      <c r="G142" s="426">
        <v>20</v>
      </c>
      <c r="H142" s="433">
        <v>0</v>
      </c>
      <c r="I142" s="433"/>
      <c r="J142" s="433"/>
      <c r="K142" s="433"/>
      <c r="L142" s="433"/>
      <c r="M142" s="433"/>
      <c r="N142" s="433"/>
      <c r="O142" s="426">
        <f t="shared" si="15"/>
        <v>0</v>
      </c>
      <c r="P142" s="433"/>
      <c r="Q142" s="433"/>
      <c r="R142" s="433"/>
      <c r="S142" s="15"/>
    </row>
    <row r="143" spans="1:19" ht="45">
      <c r="A143" s="8">
        <v>8</v>
      </c>
      <c r="B143" s="328" t="s">
        <v>322</v>
      </c>
      <c r="C143" s="8" t="s">
        <v>1045</v>
      </c>
      <c r="D143" s="8" t="s">
        <v>55</v>
      </c>
      <c r="E143" s="426">
        <f t="shared" si="16"/>
        <v>1575</v>
      </c>
      <c r="F143" s="426">
        <v>1500</v>
      </c>
      <c r="G143" s="426">
        <v>75</v>
      </c>
      <c r="H143" s="433">
        <v>0</v>
      </c>
      <c r="I143" s="433"/>
      <c r="J143" s="433"/>
      <c r="K143" s="433"/>
      <c r="L143" s="433"/>
      <c r="M143" s="433"/>
      <c r="N143" s="433"/>
      <c r="O143" s="426">
        <f t="shared" si="15"/>
        <v>0</v>
      </c>
      <c r="P143" s="433"/>
      <c r="Q143" s="433"/>
      <c r="R143" s="433"/>
      <c r="S143" s="15"/>
    </row>
    <row r="144" spans="1:19" ht="45">
      <c r="A144" s="8">
        <v>9</v>
      </c>
      <c r="B144" s="328" t="s">
        <v>324</v>
      </c>
      <c r="C144" s="8" t="s">
        <v>325</v>
      </c>
      <c r="D144" s="8" t="s">
        <v>55</v>
      </c>
      <c r="E144" s="426">
        <f t="shared" si="16"/>
        <v>1458.43</v>
      </c>
      <c r="F144" s="426">
        <v>1388.98</v>
      </c>
      <c r="G144" s="426">
        <v>69.45</v>
      </c>
      <c r="H144" s="433">
        <v>0</v>
      </c>
      <c r="I144" s="433"/>
      <c r="J144" s="433"/>
      <c r="K144" s="433"/>
      <c r="L144" s="433"/>
      <c r="M144" s="433"/>
      <c r="N144" s="433"/>
      <c r="O144" s="426">
        <f t="shared" si="15"/>
        <v>0</v>
      </c>
      <c r="P144" s="433"/>
      <c r="Q144" s="433"/>
      <c r="R144" s="433"/>
      <c r="S144" s="15"/>
    </row>
    <row r="145" spans="1:19">
      <c r="A145" s="6" t="s">
        <v>997</v>
      </c>
      <c r="B145" s="326" t="s">
        <v>328</v>
      </c>
      <c r="C145" s="24"/>
      <c r="D145" s="23"/>
      <c r="E145" s="429">
        <f>SUM(E146:E160)</f>
        <v>10137.530000000001</v>
      </c>
      <c r="F145" s="429">
        <f>SUM(F146:F160)</f>
        <v>9654.67</v>
      </c>
      <c r="G145" s="429">
        <f t="shared" ref="G145:R145" si="23">SUM(G146:G160)</f>
        <v>482.85999999999996</v>
      </c>
      <c r="H145" s="429">
        <f t="shared" si="23"/>
        <v>0</v>
      </c>
      <c r="I145" s="429"/>
      <c r="J145" s="429"/>
      <c r="K145" s="429"/>
      <c r="L145" s="429"/>
      <c r="M145" s="429"/>
      <c r="N145" s="429"/>
      <c r="O145" s="429">
        <f t="shared" si="23"/>
        <v>1824.67</v>
      </c>
      <c r="P145" s="429">
        <f t="shared" si="23"/>
        <v>1737.67</v>
      </c>
      <c r="Q145" s="429">
        <f t="shared" si="23"/>
        <v>87</v>
      </c>
      <c r="R145" s="429">
        <f t="shared" si="23"/>
        <v>0</v>
      </c>
      <c r="S145" s="16"/>
    </row>
    <row r="146" spans="1:19" ht="45">
      <c r="A146" s="8">
        <v>1</v>
      </c>
      <c r="B146" s="328" t="s">
        <v>329</v>
      </c>
      <c r="C146" s="8" t="s">
        <v>960</v>
      </c>
      <c r="D146" s="27" t="s">
        <v>52</v>
      </c>
      <c r="E146" s="426">
        <f t="shared" ref="E146:E209" si="24">F146+G146</f>
        <v>1050</v>
      </c>
      <c r="F146" s="426">
        <v>1000</v>
      </c>
      <c r="G146" s="426">
        <v>50</v>
      </c>
      <c r="H146" s="433">
        <v>0</v>
      </c>
      <c r="I146" s="433"/>
      <c r="J146" s="433"/>
      <c r="K146" s="433"/>
      <c r="L146" s="433"/>
      <c r="M146" s="433"/>
      <c r="N146" s="433"/>
      <c r="O146" s="426">
        <f t="shared" ref="O146:O209" si="25">P146+Q146</f>
        <v>1050</v>
      </c>
      <c r="P146" s="426">
        <v>1000</v>
      </c>
      <c r="Q146" s="426">
        <v>50</v>
      </c>
      <c r="R146" s="433"/>
      <c r="S146" s="15"/>
    </row>
    <row r="147" spans="1:19" ht="45">
      <c r="A147" s="8">
        <v>2</v>
      </c>
      <c r="B147" s="328" t="s">
        <v>331</v>
      </c>
      <c r="C147" s="375" t="s">
        <v>959</v>
      </c>
      <c r="D147" s="27" t="s">
        <v>52</v>
      </c>
      <c r="E147" s="426">
        <f t="shared" si="24"/>
        <v>774.67</v>
      </c>
      <c r="F147" s="426">
        <v>737.67</v>
      </c>
      <c r="G147" s="426">
        <v>37</v>
      </c>
      <c r="H147" s="433">
        <v>0</v>
      </c>
      <c r="I147" s="433"/>
      <c r="J147" s="433"/>
      <c r="K147" s="433"/>
      <c r="L147" s="433"/>
      <c r="M147" s="433"/>
      <c r="N147" s="433"/>
      <c r="O147" s="426">
        <f t="shared" si="25"/>
        <v>774.67</v>
      </c>
      <c r="P147" s="426">
        <v>737.67</v>
      </c>
      <c r="Q147" s="426">
        <v>37</v>
      </c>
      <c r="R147" s="433"/>
      <c r="S147" s="15"/>
    </row>
    <row r="148" spans="1:19" ht="45">
      <c r="A148" s="8">
        <v>3</v>
      </c>
      <c r="B148" s="328" t="s">
        <v>333</v>
      </c>
      <c r="C148" s="8" t="s">
        <v>1046</v>
      </c>
      <c r="D148" s="27" t="s">
        <v>53</v>
      </c>
      <c r="E148" s="426">
        <f t="shared" si="24"/>
        <v>876.75</v>
      </c>
      <c r="F148" s="426">
        <v>835</v>
      </c>
      <c r="G148" s="426">
        <v>41.75</v>
      </c>
      <c r="H148" s="433">
        <v>0</v>
      </c>
      <c r="I148" s="433"/>
      <c r="J148" s="433"/>
      <c r="K148" s="433"/>
      <c r="L148" s="433"/>
      <c r="M148" s="433"/>
      <c r="N148" s="433"/>
      <c r="O148" s="426">
        <f t="shared" si="25"/>
        <v>0</v>
      </c>
      <c r="P148" s="433"/>
      <c r="Q148" s="433"/>
      <c r="R148" s="433"/>
      <c r="S148" s="15"/>
    </row>
    <row r="149" spans="1:19" ht="30">
      <c r="A149" s="8">
        <v>4</v>
      </c>
      <c r="B149" s="328" t="s">
        <v>335</v>
      </c>
      <c r="C149" s="8" t="s">
        <v>1047</v>
      </c>
      <c r="D149" s="27" t="s">
        <v>53</v>
      </c>
      <c r="E149" s="426">
        <f t="shared" si="24"/>
        <v>315</v>
      </c>
      <c r="F149" s="426">
        <v>300</v>
      </c>
      <c r="G149" s="426">
        <v>15</v>
      </c>
      <c r="H149" s="433">
        <v>0</v>
      </c>
      <c r="I149" s="433"/>
      <c r="J149" s="433"/>
      <c r="K149" s="433"/>
      <c r="L149" s="433"/>
      <c r="M149" s="433"/>
      <c r="N149" s="433"/>
      <c r="O149" s="426">
        <f t="shared" si="25"/>
        <v>0</v>
      </c>
      <c r="P149" s="433"/>
      <c r="Q149" s="433"/>
      <c r="R149" s="433"/>
      <c r="S149" s="15"/>
    </row>
    <row r="150" spans="1:19" ht="30">
      <c r="A150" s="8">
        <v>5</v>
      </c>
      <c r="B150" s="328" t="s">
        <v>338</v>
      </c>
      <c r="C150" s="8" t="s">
        <v>1048</v>
      </c>
      <c r="D150" s="27" t="s">
        <v>53</v>
      </c>
      <c r="E150" s="426">
        <f t="shared" si="24"/>
        <v>735</v>
      </c>
      <c r="F150" s="426">
        <v>700</v>
      </c>
      <c r="G150" s="426">
        <v>35</v>
      </c>
      <c r="H150" s="433">
        <v>0</v>
      </c>
      <c r="I150" s="433"/>
      <c r="J150" s="433"/>
      <c r="K150" s="433"/>
      <c r="L150" s="433"/>
      <c r="M150" s="433"/>
      <c r="N150" s="433"/>
      <c r="O150" s="426">
        <f t="shared" si="25"/>
        <v>0</v>
      </c>
      <c r="P150" s="433"/>
      <c r="Q150" s="433"/>
      <c r="R150" s="433"/>
      <c r="S150" s="15"/>
    </row>
    <row r="151" spans="1:19" ht="45">
      <c r="A151" s="8">
        <v>6</v>
      </c>
      <c r="B151" s="328" t="s">
        <v>340</v>
      </c>
      <c r="C151" s="8" t="s">
        <v>960</v>
      </c>
      <c r="D151" s="27" t="s">
        <v>53</v>
      </c>
      <c r="E151" s="426">
        <f t="shared" si="24"/>
        <v>840</v>
      </c>
      <c r="F151" s="426">
        <v>800</v>
      </c>
      <c r="G151" s="426">
        <v>40</v>
      </c>
      <c r="H151" s="433">
        <v>0</v>
      </c>
      <c r="I151" s="433"/>
      <c r="J151" s="433"/>
      <c r="K151" s="433"/>
      <c r="L151" s="433"/>
      <c r="M151" s="433"/>
      <c r="N151" s="433"/>
      <c r="O151" s="426">
        <f t="shared" si="25"/>
        <v>0</v>
      </c>
      <c r="P151" s="433"/>
      <c r="Q151" s="433"/>
      <c r="R151" s="433"/>
      <c r="S151" s="15"/>
    </row>
    <row r="152" spans="1:19" ht="30">
      <c r="A152" s="8">
        <v>7</v>
      </c>
      <c r="B152" s="328" t="s">
        <v>342</v>
      </c>
      <c r="C152" s="8" t="s">
        <v>1049</v>
      </c>
      <c r="D152" s="8" t="s">
        <v>54</v>
      </c>
      <c r="E152" s="426">
        <f t="shared" si="24"/>
        <v>1050</v>
      </c>
      <c r="F152" s="426">
        <v>1000</v>
      </c>
      <c r="G152" s="426">
        <v>50</v>
      </c>
      <c r="H152" s="433">
        <v>0</v>
      </c>
      <c r="I152" s="433"/>
      <c r="J152" s="433"/>
      <c r="K152" s="433"/>
      <c r="L152" s="433"/>
      <c r="M152" s="433"/>
      <c r="N152" s="433"/>
      <c r="O152" s="426">
        <f t="shared" si="25"/>
        <v>0</v>
      </c>
      <c r="P152" s="433"/>
      <c r="Q152" s="433"/>
      <c r="R152" s="433"/>
      <c r="S152" s="15"/>
    </row>
    <row r="153" spans="1:19" ht="30">
      <c r="A153" s="8">
        <v>8</v>
      </c>
      <c r="B153" s="328" t="s">
        <v>344</v>
      </c>
      <c r="C153" s="8" t="s">
        <v>1088</v>
      </c>
      <c r="D153" s="8" t="s">
        <v>54</v>
      </c>
      <c r="E153" s="426">
        <f t="shared" si="24"/>
        <v>361.2</v>
      </c>
      <c r="F153" s="426">
        <v>344</v>
      </c>
      <c r="G153" s="426">
        <v>17.2</v>
      </c>
      <c r="H153" s="433">
        <v>0</v>
      </c>
      <c r="I153" s="433"/>
      <c r="J153" s="433"/>
      <c r="K153" s="433"/>
      <c r="L153" s="433"/>
      <c r="M153" s="433"/>
      <c r="N153" s="433"/>
      <c r="O153" s="426">
        <f t="shared" si="25"/>
        <v>0</v>
      </c>
      <c r="P153" s="433"/>
      <c r="Q153" s="433"/>
      <c r="R153" s="433"/>
      <c r="S153" s="15"/>
    </row>
    <row r="154" spans="1:19" ht="30">
      <c r="A154" s="8">
        <v>9</v>
      </c>
      <c r="B154" s="328" t="s">
        <v>346</v>
      </c>
      <c r="C154" s="8" t="s">
        <v>1050</v>
      </c>
      <c r="D154" s="8" t="s">
        <v>54</v>
      </c>
      <c r="E154" s="426">
        <f t="shared" si="24"/>
        <v>1050</v>
      </c>
      <c r="F154" s="426">
        <v>1000</v>
      </c>
      <c r="G154" s="426">
        <v>50</v>
      </c>
      <c r="H154" s="433">
        <v>0</v>
      </c>
      <c r="I154" s="433"/>
      <c r="J154" s="433"/>
      <c r="K154" s="433"/>
      <c r="L154" s="433"/>
      <c r="M154" s="433"/>
      <c r="N154" s="433"/>
      <c r="O154" s="426">
        <f t="shared" si="25"/>
        <v>0</v>
      </c>
      <c r="P154" s="433"/>
      <c r="Q154" s="433"/>
      <c r="R154" s="433"/>
      <c r="S154" s="15"/>
    </row>
    <row r="155" spans="1:19" ht="45">
      <c r="A155" s="8">
        <v>10</v>
      </c>
      <c r="B155" s="328" t="s">
        <v>349</v>
      </c>
      <c r="C155" s="8" t="s">
        <v>1051</v>
      </c>
      <c r="D155" s="8" t="s">
        <v>54</v>
      </c>
      <c r="E155" s="426">
        <f t="shared" si="24"/>
        <v>320.25</v>
      </c>
      <c r="F155" s="426">
        <v>305</v>
      </c>
      <c r="G155" s="426">
        <v>15.25</v>
      </c>
      <c r="H155" s="433">
        <v>0</v>
      </c>
      <c r="I155" s="433"/>
      <c r="J155" s="433"/>
      <c r="K155" s="433"/>
      <c r="L155" s="433"/>
      <c r="M155" s="433"/>
      <c r="N155" s="433"/>
      <c r="O155" s="426">
        <f t="shared" si="25"/>
        <v>0</v>
      </c>
      <c r="P155" s="433"/>
      <c r="Q155" s="433"/>
      <c r="R155" s="433"/>
      <c r="S155" s="15"/>
    </row>
    <row r="156" spans="1:19" ht="30">
      <c r="A156" s="8">
        <v>11</v>
      </c>
      <c r="B156" s="328" t="s">
        <v>351</v>
      </c>
      <c r="C156" s="8" t="s">
        <v>1052</v>
      </c>
      <c r="D156" s="8" t="s">
        <v>55</v>
      </c>
      <c r="E156" s="426">
        <f t="shared" si="24"/>
        <v>420</v>
      </c>
      <c r="F156" s="426">
        <v>400</v>
      </c>
      <c r="G156" s="426">
        <v>20</v>
      </c>
      <c r="H156" s="433">
        <v>0</v>
      </c>
      <c r="I156" s="433"/>
      <c r="J156" s="433"/>
      <c r="K156" s="433"/>
      <c r="L156" s="433"/>
      <c r="M156" s="433"/>
      <c r="N156" s="433"/>
      <c r="O156" s="426">
        <f t="shared" si="25"/>
        <v>0</v>
      </c>
      <c r="P156" s="433"/>
      <c r="Q156" s="433"/>
      <c r="R156" s="433"/>
      <c r="S156" s="15"/>
    </row>
    <row r="157" spans="1:19" ht="30">
      <c r="A157" s="8">
        <v>12</v>
      </c>
      <c r="B157" s="328" t="s">
        <v>353</v>
      </c>
      <c r="C157" s="8" t="s">
        <v>1053</v>
      </c>
      <c r="D157" s="8" t="s">
        <v>55</v>
      </c>
      <c r="E157" s="426">
        <f t="shared" si="24"/>
        <v>454.65</v>
      </c>
      <c r="F157" s="426">
        <v>433</v>
      </c>
      <c r="G157" s="426">
        <v>21.65</v>
      </c>
      <c r="H157" s="433">
        <v>0</v>
      </c>
      <c r="I157" s="433"/>
      <c r="J157" s="433"/>
      <c r="K157" s="433"/>
      <c r="L157" s="433"/>
      <c r="M157" s="433"/>
      <c r="N157" s="433"/>
      <c r="O157" s="426">
        <f t="shared" si="25"/>
        <v>0</v>
      </c>
      <c r="P157" s="433"/>
      <c r="Q157" s="433"/>
      <c r="R157" s="433"/>
      <c r="S157" s="15"/>
    </row>
    <row r="158" spans="1:19" ht="45">
      <c r="A158" s="8">
        <v>13</v>
      </c>
      <c r="B158" s="328" t="s">
        <v>355</v>
      </c>
      <c r="C158" s="8" t="s">
        <v>1046</v>
      </c>
      <c r="D158" s="8" t="s">
        <v>55</v>
      </c>
      <c r="E158" s="426">
        <f t="shared" si="24"/>
        <v>1050</v>
      </c>
      <c r="F158" s="426">
        <v>1000</v>
      </c>
      <c r="G158" s="426">
        <v>50</v>
      </c>
      <c r="H158" s="433"/>
      <c r="I158" s="433"/>
      <c r="J158" s="433"/>
      <c r="K158" s="433"/>
      <c r="L158" s="433"/>
      <c r="M158" s="433"/>
      <c r="N158" s="433"/>
      <c r="O158" s="426">
        <f t="shared" si="25"/>
        <v>0</v>
      </c>
      <c r="P158" s="433"/>
      <c r="Q158" s="433"/>
      <c r="R158" s="433"/>
      <c r="S158" s="15"/>
    </row>
    <row r="159" spans="1:19" ht="45">
      <c r="A159" s="8">
        <v>14</v>
      </c>
      <c r="B159" s="328" t="s">
        <v>356</v>
      </c>
      <c r="C159" s="8" t="s">
        <v>960</v>
      </c>
      <c r="D159" s="8" t="s">
        <v>55</v>
      </c>
      <c r="E159" s="426">
        <f t="shared" si="24"/>
        <v>420</v>
      </c>
      <c r="F159" s="426">
        <v>400</v>
      </c>
      <c r="G159" s="426">
        <v>20</v>
      </c>
      <c r="H159" s="433"/>
      <c r="I159" s="433"/>
      <c r="J159" s="433"/>
      <c r="K159" s="433"/>
      <c r="L159" s="433"/>
      <c r="M159" s="433"/>
      <c r="N159" s="433"/>
      <c r="O159" s="426">
        <f t="shared" si="25"/>
        <v>0</v>
      </c>
      <c r="P159" s="433"/>
      <c r="Q159" s="433"/>
      <c r="R159" s="433"/>
      <c r="S159" s="15"/>
    </row>
    <row r="160" spans="1:19" ht="30">
      <c r="A160" s="8">
        <v>15</v>
      </c>
      <c r="B160" s="328" t="s">
        <v>357</v>
      </c>
      <c r="C160" s="8" t="s">
        <v>1054</v>
      </c>
      <c r="D160" s="8" t="s">
        <v>55</v>
      </c>
      <c r="E160" s="426">
        <f t="shared" si="24"/>
        <v>420.01</v>
      </c>
      <c r="F160" s="426">
        <v>400</v>
      </c>
      <c r="G160" s="426">
        <v>20.010000000000002</v>
      </c>
      <c r="H160" s="433"/>
      <c r="I160" s="433"/>
      <c r="J160" s="433"/>
      <c r="K160" s="433"/>
      <c r="L160" s="433"/>
      <c r="M160" s="433"/>
      <c r="N160" s="433"/>
      <c r="O160" s="426">
        <f t="shared" si="25"/>
        <v>0</v>
      </c>
      <c r="P160" s="433"/>
      <c r="Q160" s="433"/>
      <c r="R160" s="433"/>
      <c r="S160" s="15"/>
    </row>
    <row r="161" spans="1:19">
      <c r="A161" s="6" t="s">
        <v>998</v>
      </c>
      <c r="B161" s="326" t="s">
        <v>359</v>
      </c>
      <c r="C161" s="24"/>
      <c r="D161" s="23"/>
      <c r="E161" s="429">
        <f>SUM(E162:E175)</f>
        <v>11098.64</v>
      </c>
      <c r="F161" s="429">
        <f t="shared" ref="F161:R161" si="26">SUM(F162:F175)</f>
        <v>10569.14</v>
      </c>
      <c r="G161" s="429">
        <f t="shared" si="26"/>
        <v>529.5</v>
      </c>
      <c r="H161" s="429">
        <f t="shared" si="26"/>
        <v>0</v>
      </c>
      <c r="I161" s="429"/>
      <c r="J161" s="429"/>
      <c r="K161" s="429"/>
      <c r="L161" s="429"/>
      <c r="M161" s="429"/>
      <c r="N161" s="429"/>
      <c r="O161" s="429">
        <f t="shared" si="26"/>
        <v>1997.25</v>
      </c>
      <c r="P161" s="429">
        <f t="shared" si="26"/>
        <v>1902.25</v>
      </c>
      <c r="Q161" s="429">
        <f t="shared" si="26"/>
        <v>95</v>
      </c>
      <c r="R161" s="429">
        <f t="shared" si="26"/>
        <v>0</v>
      </c>
      <c r="S161" s="16"/>
    </row>
    <row r="162" spans="1:19" ht="45">
      <c r="A162" s="8">
        <v>1</v>
      </c>
      <c r="B162" s="328" t="s">
        <v>360</v>
      </c>
      <c r="C162" s="8" t="s">
        <v>958</v>
      </c>
      <c r="D162" s="27" t="s">
        <v>52</v>
      </c>
      <c r="E162" s="426">
        <f t="shared" si="24"/>
        <v>737.25</v>
      </c>
      <c r="F162" s="426">
        <v>702.25</v>
      </c>
      <c r="G162" s="426">
        <v>35</v>
      </c>
      <c r="H162" s="433">
        <v>0</v>
      </c>
      <c r="I162" s="433"/>
      <c r="J162" s="433"/>
      <c r="K162" s="433"/>
      <c r="L162" s="433"/>
      <c r="M162" s="433"/>
      <c r="N162" s="433"/>
      <c r="O162" s="426">
        <f t="shared" si="25"/>
        <v>737.25</v>
      </c>
      <c r="P162" s="426">
        <v>702.25</v>
      </c>
      <c r="Q162" s="426">
        <v>35</v>
      </c>
      <c r="R162" s="433"/>
      <c r="S162" s="15"/>
    </row>
    <row r="163" spans="1:19" ht="30">
      <c r="A163" s="8">
        <v>2</v>
      </c>
      <c r="B163" s="328" t="s">
        <v>362</v>
      </c>
      <c r="C163" s="8" t="s">
        <v>957</v>
      </c>
      <c r="D163" s="27" t="s">
        <v>52</v>
      </c>
      <c r="E163" s="426">
        <f t="shared" si="24"/>
        <v>420</v>
      </c>
      <c r="F163" s="426">
        <v>400</v>
      </c>
      <c r="G163" s="426">
        <v>20</v>
      </c>
      <c r="H163" s="433">
        <v>0</v>
      </c>
      <c r="I163" s="433"/>
      <c r="J163" s="433"/>
      <c r="K163" s="433"/>
      <c r="L163" s="433"/>
      <c r="M163" s="433"/>
      <c r="N163" s="433"/>
      <c r="O163" s="426">
        <f t="shared" si="25"/>
        <v>420</v>
      </c>
      <c r="P163" s="426">
        <v>400</v>
      </c>
      <c r="Q163" s="426">
        <v>20</v>
      </c>
      <c r="R163" s="433"/>
      <c r="S163" s="15"/>
    </row>
    <row r="164" spans="1:19" ht="30">
      <c r="A164" s="8">
        <v>3</v>
      </c>
      <c r="B164" s="328" t="s">
        <v>364</v>
      </c>
      <c r="C164" s="8" t="s">
        <v>956</v>
      </c>
      <c r="D164" s="27" t="s">
        <v>52</v>
      </c>
      <c r="E164" s="426">
        <f t="shared" si="24"/>
        <v>420</v>
      </c>
      <c r="F164" s="426">
        <v>400</v>
      </c>
      <c r="G164" s="426">
        <v>20</v>
      </c>
      <c r="H164" s="433">
        <v>0</v>
      </c>
      <c r="I164" s="433"/>
      <c r="J164" s="433"/>
      <c r="K164" s="433"/>
      <c r="L164" s="433"/>
      <c r="M164" s="433"/>
      <c r="N164" s="433"/>
      <c r="O164" s="426">
        <f t="shared" si="25"/>
        <v>420</v>
      </c>
      <c r="P164" s="426">
        <v>400</v>
      </c>
      <c r="Q164" s="426">
        <v>20</v>
      </c>
      <c r="R164" s="433"/>
      <c r="S164" s="15"/>
    </row>
    <row r="165" spans="1:19" ht="45">
      <c r="A165" s="8">
        <v>4</v>
      </c>
      <c r="B165" s="328" t="s">
        <v>366</v>
      </c>
      <c r="C165" s="8" t="s">
        <v>955</v>
      </c>
      <c r="D165" s="27" t="s">
        <v>52</v>
      </c>
      <c r="E165" s="426">
        <f t="shared" si="24"/>
        <v>420</v>
      </c>
      <c r="F165" s="426">
        <v>400</v>
      </c>
      <c r="G165" s="426">
        <v>20</v>
      </c>
      <c r="H165" s="433">
        <v>0</v>
      </c>
      <c r="I165" s="433"/>
      <c r="J165" s="433"/>
      <c r="K165" s="433"/>
      <c r="L165" s="433"/>
      <c r="M165" s="433"/>
      <c r="N165" s="433"/>
      <c r="O165" s="426">
        <f t="shared" si="25"/>
        <v>420</v>
      </c>
      <c r="P165" s="426">
        <v>400</v>
      </c>
      <c r="Q165" s="426">
        <v>20</v>
      </c>
      <c r="R165" s="433"/>
      <c r="S165" s="15"/>
    </row>
    <row r="166" spans="1:19" ht="45">
      <c r="A166" s="8">
        <v>5</v>
      </c>
      <c r="B166" s="328" t="s">
        <v>368</v>
      </c>
      <c r="C166" s="8" t="s">
        <v>1055</v>
      </c>
      <c r="D166" s="8" t="s">
        <v>53</v>
      </c>
      <c r="E166" s="426">
        <f t="shared" si="24"/>
        <v>1455</v>
      </c>
      <c r="F166" s="426">
        <v>1386</v>
      </c>
      <c r="G166" s="426">
        <v>69</v>
      </c>
      <c r="H166" s="433"/>
      <c r="I166" s="433"/>
      <c r="J166" s="433"/>
      <c r="K166" s="433"/>
      <c r="L166" s="433"/>
      <c r="M166" s="433"/>
      <c r="N166" s="433"/>
      <c r="O166" s="426">
        <f t="shared" si="25"/>
        <v>0</v>
      </c>
      <c r="P166" s="433"/>
      <c r="Q166" s="433"/>
      <c r="R166" s="433"/>
      <c r="S166" s="15"/>
    </row>
    <row r="167" spans="1:19" ht="60">
      <c r="A167" s="8">
        <v>6</v>
      </c>
      <c r="B167" s="328" t="s">
        <v>370</v>
      </c>
      <c r="C167" s="8" t="s">
        <v>1056</v>
      </c>
      <c r="D167" s="8" t="s">
        <v>53</v>
      </c>
      <c r="E167" s="426">
        <f t="shared" si="24"/>
        <v>1890</v>
      </c>
      <c r="F167" s="426">
        <v>1800</v>
      </c>
      <c r="G167" s="426">
        <v>90</v>
      </c>
      <c r="H167" s="433"/>
      <c r="I167" s="433"/>
      <c r="J167" s="433"/>
      <c r="K167" s="433"/>
      <c r="L167" s="433"/>
      <c r="M167" s="433"/>
      <c r="N167" s="433"/>
      <c r="O167" s="426">
        <f t="shared" si="25"/>
        <v>0</v>
      </c>
      <c r="P167" s="433"/>
      <c r="Q167" s="433"/>
      <c r="R167" s="433"/>
      <c r="S167" s="15"/>
    </row>
    <row r="168" spans="1:19" ht="45">
      <c r="A168" s="8">
        <v>7</v>
      </c>
      <c r="B168" s="328" t="s">
        <v>373</v>
      </c>
      <c r="C168" s="8" t="s">
        <v>1057</v>
      </c>
      <c r="D168" s="8" t="s">
        <v>53</v>
      </c>
      <c r="E168" s="426">
        <f t="shared" si="24"/>
        <v>1575</v>
      </c>
      <c r="F168" s="426">
        <v>1500</v>
      </c>
      <c r="G168" s="426">
        <v>75</v>
      </c>
      <c r="H168" s="433"/>
      <c r="I168" s="433"/>
      <c r="J168" s="433"/>
      <c r="K168" s="433"/>
      <c r="L168" s="433"/>
      <c r="M168" s="433"/>
      <c r="N168" s="433"/>
      <c r="O168" s="426">
        <f t="shared" si="25"/>
        <v>0</v>
      </c>
      <c r="P168" s="433"/>
      <c r="Q168" s="433"/>
      <c r="R168" s="433"/>
      <c r="S168" s="15"/>
    </row>
    <row r="169" spans="1:19" ht="30">
      <c r="A169" s="8">
        <v>8</v>
      </c>
      <c r="B169" s="328" t="s">
        <v>375</v>
      </c>
      <c r="C169" s="8" t="s">
        <v>1058</v>
      </c>
      <c r="D169" s="8" t="s">
        <v>54</v>
      </c>
      <c r="E169" s="426">
        <f t="shared" si="24"/>
        <v>1064</v>
      </c>
      <c r="F169" s="426">
        <v>1014</v>
      </c>
      <c r="G169" s="426">
        <v>50</v>
      </c>
      <c r="H169" s="433"/>
      <c r="I169" s="433"/>
      <c r="J169" s="433"/>
      <c r="K169" s="433"/>
      <c r="L169" s="433"/>
      <c r="M169" s="433"/>
      <c r="N169" s="433"/>
      <c r="O169" s="426">
        <f t="shared" si="25"/>
        <v>0</v>
      </c>
      <c r="P169" s="433"/>
      <c r="Q169" s="433"/>
      <c r="R169" s="433"/>
      <c r="S169" s="15"/>
    </row>
    <row r="170" spans="1:19" ht="45">
      <c r="A170" s="8">
        <v>9</v>
      </c>
      <c r="B170" s="328" t="s">
        <v>378</v>
      </c>
      <c r="C170" s="8" t="s">
        <v>1059</v>
      </c>
      <c r="D170" s="8" t="s">
        <v>54</v>
      </c>
      <c r="E170" s="426">
        <f t="shared" si="24"/>
        <v>504</v>
      </c>
      <c r="F170" s="426">
        <v>480</v>
      </c>
      <c r="G170" s="426">
        <v>24</v>
      </c>
      <c r="H170" s="433">
        <v>0</v>
      </c>
      <c r="I170" s="433"/>
      <c r="J170" s="433"/>
      <c r="K170" s="433"/>
      <c r="L170" s="433"/>
      <c r="M170" s="433"/>
      <c r="N170" s="433"/>
      <c r="O170" s="426">
        <f t="shared" si="25"/>
        <v>0</v>
      </c>
      <c r="P170" s="433"/>
      <c r="Q170" s="433"/>
      <c r="R170" s="433"/>
      <c r="S170" s="15"/>
    </row>
    <row r="171" spans="1:19" ht="30">
      <c r="A171" s="8">
        <v>10</v>
      </c>
      <c r="B171" s="376" t="s">
        <v>937</v>
      </c>
      <c r="C171" s="8" t="s">
        <v>1060</v>
      </c>
      <c r="D171" s="8" t="s">
        <v>54</v>
      </c>
      <c r="E171" s="426">
        <f t="shared" si="24"/>
        <v>169.5</v>
      </c>
      <c r="F171" s="426">
        <v>160</v>
      </c>
      <c r="G171" s="426">
        <v>9.5</v>
      </c>
      <c r="H171" s="433">
        <v>0</v>
      </c>
      <c r="I171" s="433"/>
      <c r="J171" s="433"/>
      <c r="K171" s="433"/>
      <c r="L171" s="433"/>
      <c r="M171" s="433"/>
      <c r="N171" s="433"/>
      <c r="O171" s="426">
        <f t="shared" si="25"/>
        <v>0</v>
      </c>
      <c r="P171" s="433"/>
      <c r="Q171" s="433"/>
      <c r="R171" s="433"/>
      <c r="S171" s="15"/>
    </row>
    <row r="172" spans="1:19" ht="30">
      <c r="A172" s="8">
        <v>11</v>
      </c>
      <c r="B172" s="328" t="s">
        <v>383</v>
      </c>
      <c r="C172" s="8" t="s">
        <v>1061</v>
      </c>
      <c r="D172" s="8" t="s">
        <v>54</v>
      </c>
      <c r="E172" s="426">
        <f t="shared" si="24"/>
        <v>420</v>
      </c>
      <c r="F172" s="426">
        <v>400</v>
      </c>
      <c r="G172" s="426">
        <v>20</v>
      </c>
      <c r="H172" s="433">
        <v>0</v>
      </c>
      <c r="I172" s="433"/>
      <c r="J172" s="433"/>
      <c r="K172" s="433"/>
      <c r="L172" s="433"/>
      <c r="M172" s="433"/>
      <c r="N172" s="433"/>
      <c r="O172" s="426">
        <f t="shared" si="25"/>
        <v>0</v>
      </c>
      <c r="P172" s="433"/>
      <c r="Q172" s="433"/>
      <c r="R172" s="433"/>
      <c r="S172" s="15"/>
    </row>
    <row r="173" spans="1:19" ht="30">
      <c r="A173" s="8">
        <v>12</v>
      </c>
      <c r="B173" s="328" t="s">
        <v>386</v>
      </c>
      <c r="C173" s="8" t="s">
        <v>1061</v>
      </c>
      <c r="D173" s="27" t="s">
        <v>55</v>
      </c>
      <c r="E173" s="426">
        <f t="shared" si="24"/>
        <v>414.89</v>
      </c>
      <c r="F173" s="426">
        <v>394.89</v>
      </c>
      <c r="G173" s="426">
        <v>20</v>
      </c>
      <c r="H173" s="433">
        <v>0</v>
      </c>
      <c r="I173" s="433"/>
      <c r="J173" s="433"/>
      <c r="K173" s="433"/>
      <c r="L173" s="433"/>
      <c r="M173" s="433"/>
      <c r="N173" s="433"/>
      <c r="O173" s="426">
        <f t="shared" si="25"/>
        <v>0</v>
      </c>
      <c r="P173" s="433"/>
      <c r="Q173" s="433"/>
      <c r="R173" s="433"/>
      <c r="S173" s="15"/>
    </row>
    <row r="174" spans="1:19" ht="45">
      <c r="A174" s="8">
        <v>13</v>
      </c>
      <c r="B174" s="328" t="s">
        <v>388</v>
      </c>
      <c r="C174" s="8" t="s">
        <v>1059</v>
      </c>
      <c r="D174" s="27" t="s">
        <v>55</v>
      </c>
      <c r="E174" s="426">
        <f t="shared" si="24"/>
        <v>559</v>
      </c>
      <c r="F174" s="426">
        <v>532</v>
      </c>
      <c r="G174" s="426">
        <v>27</v>
      </c>
      <c r="H174" s="433">
        <v>0</v>
      </c>
      <c r="I174" s="433"/>
      <c r="J174" s="433"/>
      <c r="K174" s="433"/>
      <c r="L174" s="433"/>
      <c r="M174" s="433"/>
      <c r="N174" s="433"/>
      <c r="O174" s="426">
        <f t="shared" si="25"/>
        <v>0</v>
      </c>
      <c r="P174" s="433"/>
      <c r="Q174" s="433"/>
      <c r="R174" s="433"/>
      <c r="S174" s="15"/>
    </row>
    <row r="175" spans="1:19" ht="45">
      <c r="A175" s="8">
        <v>14</v>
      </c>
      <c r="B175" s="328" t="s">
        <v>390</v>
      </c>
      <c r="C175" s="8" t="s">
        <v>1061</v>
      </c>
      <c r="D175" s="27" t="s">
        <v>55</v>
      </c>
      <c r="E175" s="426">
        <f t="shared" si="24"/>
        <v>1050</v>
      </c>
      <c r="F175" s="426">
        <v>1000</v>
      </c>
      <c r="G175" s="426">
        <v>50</v>
      </c>
      <c r="H175" s="433">
        <v>0</v>
      </c>
      <c r="I175" s="433"/>
      <c r="J175" s="433"/>
      <c r="K175" s="433"/>
      <c r="L175" s="433"/>
      <c r="M175" s="433"/>
      <c r="N175" s="433"/>
      <c r="O175" s="426">
        <f t="shared" si="25"/>
        <v>0</v>
      </c>
      <c r="P175" s="433"/>
      <c r="Q175" s="433"/>
      <c r="R175" s="433"/>
      <c r="S175" s="15"/>
    </row>
    <row r="176" spans="1:19">
      <c r="A176" s="6" t="s">
        <v>999</v>
      </c>
      <c r="B176" s="326" t="s">
        <v>393</v>
      </c>
      <c r="C176" s="24"/>
      <c r="D176" s="23"/>
      <c r="E176" s="429">
        <f>SUM(E177:E195)</f>
        <v>10113.950000000001</v>
      </c>
      <c r="F176" s="429">
        <f t="shared" ref="F176:R176" si="27">SUM(F177:F195)</f>
        <v>9632.9500000000007</v>
      </c>
      <c r="G176" s="429">
        <f t="shared" si="27"/>
        <v>481</v>
      </c>
      <c r="H176" s="429">
        <f t="shared" si="27"/>
        <v>0</v>
      </c>
      <c r="I176" s="429"/>
      <c r="J176" s="429"/>
      <c r="K176" s="429"/>
      <c r="L176" s="429"/>
      <c r="M176" s="429"/>
      <c r="N176" s="429"/>
      <c r="O176" s="429">
        <f t="shared" si="27"/>
        <v>2066.75</v>
      </c>
      <c r="P176" s="429">
        <f t="shared" si="27"/>
        <v>1983.75</v>
      </c>
      <c r="Q176" s="429">
        <f t="shared" si="27"/>
        <v>83</v>
      </c>
      <c r="R176" s="429">
        <f t="shared" si="27"/>
        <v>0</v>
      </c>
      <c r="S176" s="16"/>
    </row>
    <row r="177" spans="1:19" ht="30">
      <c r="A177" s="8">
        <v>1</v>
      </c>
      <c r="B177" s="340" t="s">
        <v>394</v>
      </c>
      <c r="C177" s="28" t="s">
        <v>954</v>
      </c>
      <c r="D177" s="27" t="s">
        <v>52</v>
      </c>
      <c r="E177" s="426">
        <f t="shared" si="24"/>
        <v>1047</v>
      </c>
      <c r="F177" s="426">
        <v>997</v>
      </c>
      <c r="G177" s="426">
        <v>50</v>
      </c>
      <c r="H177" s="433">
        <v>0</v>
      </c>
      <c r="I177" s="433"/>
      <c r="J177" s="433"/>
      <c r="K177" s="433"/>
      <c r="L177" s="433"/>
      <c r="M177" s="433"/>
      <c r="N177" s="433"/>
      <c r="O177" s="426">
        <f t="shared" si="25"/>
        <v>1047</v>
      </c>
      <c r="P177" s="426">
        <v>997</v>
      </c>
      <c r="Q177" s="426">
        <v>50</v>
      </c>
      <c r="R177" s="433"/>
      <c r="S177" s="15"/>
    </row>
    <row r="178" spans="1:19" ht="30">
      <c r="A178" s="8">
        <v>2</v>
      </c>
      <c r="B178" s="340" t="s">
        <v>397</v>
      </c>
      <c r="C178" s="28" t="s">
        <v>953</v>
      </c>
      <c r="D178" s="27" t="s">
        <v>52</v>
      </c>
      <c r="E178" s="426">
        <f t="shared" si="24"/>
        <v>701</v>
      </c>
      <c r="F178" s="426">
        <v>668</v>
      </c>
      <c r="G178" s="426">
        <v>33</v>
      </c>
      <c r="H178" s="433">
        <v>0</v>
      </c>
      <c r="I178" s="433"/>
      <c r="J178" s="433"/>
      <c r="K178" s="433"/>
      <c r="L178" s="433"/>
      <c r="M178" s="433"/>
      <c r="N178" s="433"/>
      <c r="O178" s="426">
        <f t="shared" si="25"/>
        <v>701</v>
      </c>
      <c r="P178" s="426">
        <v>668</v>
      </c>
      <c r="Q178" s="426">
        <v>33</v>
      </c>
      <c r="R178" s="433"/>
      <c r="S178" s="15"/>
    </row>
    <row r="179" spans="1:19" ht="30">
      <c r="A179" s="8">
        <v>3</v>
      </c>
      <c r="B179" s="340" t="s">
        <v>400</v>
      </c>
      <c r="C179" s="28" t="s">
        <v>952</v>
      </c>
      <c r="D179" s="27" t="s">
        <v>52</v>
      </c>
      <c r="E179" s="426">
        <f t="shared" si="24"/>
        <v>399</v>
      </c>
      <c r="F179" s="426">
        <v>380</v>
      </c>
      <c r="G179" s="426">
        <v>19</v>
      </c>
      <c r="H179" s="433">
        <v>0</v>
      </c>
      <c r="I179" s="433"/>
      <c r="J179" s="433"/>
      <c r="K179" s="433"/>
      <c r="L179" s="433"/>
      <c r="M179" s="433"/>
      <c r="N179" s="433"/>
      <c r="O179" s="426">
        <f t="shared" si="25"/>
        <v>318.75</v>
      </c>
      <c r="P179" s="426">
        <f>68.75+250</f>
        <v>318.75</v>
      </c>
      <c r="Q179" s="426">
        <v>0</v>
      </c>
      <c r="R179" s="433"/>
      <c r="S179" s="15"/>
    </row>
    <row r="180" spans="1:19" ht="30">
      <c r="A180" s="8">
        <v>4</v>
      </c>
      <c r="B180" s="340" t="s">
        <v>403</v>
      </c>
      <c r="C180" s="28" t="s">
        <v>953</v>
      </c>
      <c r="D180" s="27" t="s">
        <v>53</v>
      </c>
      <c r="E180" s="426">
        <f t="shared" si="24"/>
        <v>448</v>
      </c>
      <c r="F180" s="426">
        <v>428</v>
      </c>
      <c r="G180" s="426">
        <v>20</v>
      </c>
      <c r="H180" s="433">
        <v>0</v>
      </c>
      <c r="I180" s="433"/>
      <c r="J180" s="433"/>
      <c r="K180" s="433"/>
      <c r="L180" s="433"/>
      <c r="M180" s="433"/>
      <c r="N180" s="433"/>
      <c r="O180" s="426">
        <f t="shared" si="25"/>
        <v>0</v>
      </c>
      <c r="P180" s="433"/>
      <c r="Q180" s="433"/>
      <c r="R180" s="433"/>
      <c r="S180" s="15"/>
    </row>
    <row r="181" spans="1:19" ht="45">
      <c r="A181" s="8">
        <v>5</v>
      </c>
      <c r="B181" s="340" t="s">
        <v>405</v>
      </c>
      <c r="C181" s="28" t="s">
        <v>1062</v>
      </c>
      <c r="D181" s="27" t="s">
        <v>53</v>
      </c>
      <c r="E181" s="426">
        <f t="shared" si="24"/>
        <v>340</v>
      </c>
      <c r="F181" s="426">
        <v>325</v>
      </c>
      <c r="G181" s="426">
        <v>15</v>
      </c>
      <c r="H181" s="433">
        <v>0</v>
      </c>
      <c r="I181" s="433"/>
      <c r="J181" s="433"/>
      <c r="K181" s="433"/>
      <c r="L181" s="433"/>
      <c r="M181" s="433"/>
      <c r="N181" s="433"/>
      <c r="O181" s="426">
        <f t="shared" si="25"/>
        <v>0</v>
      </c>
      <c r="P181" s="433"/>
      <c r="Q181" s="433"/>
      <c r="R181" s="433"/>
      <c r="S181" s="15"/>
    </row>
    <row r="182" spans="1:19" ht="45">
      <c r="A182" s="8">
        <v>6</v>
      </c>
      <c r="B182" s="340" t="s">
        <v>408</v>
      </c>
      <c r="C182" s="28" t="s">
        <v>1063</v>
      </c>
      <c r="D182" s="27" t="s">
        <v>53</v>
      </c>
      <c r="E182" s="426">
        <f t="shared" si="24"/>
        <v>499</v>
      </c>
      <c r="F182" s="426">
        <v>475</v>
      </c>
      <c r="G182" s="426">
        <v>24</v>
      </c>
      <c r="H182" s="433">
        <v>0</v>
      </c>
      <c r="I182" s="433"/>
      <c r="J182" s="433"/>
      <c r="K182" s="433"/>
      <c r="L182" s="433"/>
      <c r="M182" s="433"/>
      <c r="N182" s="433"/>
      <c r="O182" s="426">
        <f t="shared" si="25"/>
        <v>0</v>
      </c>
      <c r="P182" s="433"/>
      <c r="Q182" s="433"/>
      <c r="R182" s="433"/>
      <c r="S182" s="15"/>
    </row>
    <row r="183" spans="1:19" ht="45">
      <c r="A183" s="8">
        <v>7</v>
      </c>
      <c r="B183" s="340" t="s">
        <v>411</v>
      </c>
      <c r="C183" s="28" t="s">
        <v>1064</v>
      </c>
      <c r="D183" s="27" t="s">
        <v>53</v>
      </c>
      <c r="E183" s="426">
        <f t="shared" si="24"/>
        <v>499</v>
      </c>
      <c r="F183" s="426">
        <v>475</v>
      </c>
      <c r="G183" s="426">
        <v>24</v>
      </c>
      <c r="H183" s="433">
        <v>0</v>
      </c>
      <c r="I183" s="433"/>
      <c r="J183" s="433"/>
      <c r="K183" s="433"/>
      <c r="L183" s="433"/>
      <c r="M183" s="433"/>
      <c r="N183" s="433"/>
      <c r="O183" s="426">
        <f t="shared" si="25"/>
        <v>0</v>
      </c>
      <c r="P183" s="433"/>
      <c r="Q183" s="433"/>
      <c r="R183" s="433"/>
      <c r="S183" s="15"/>
    </row>
    <row r="184" spans="1:19" ht="30">
      <c r="A184" s="8">
        <v>8</v>
      </c>
      <c r="B184" s="340" t="s">
        <v>414</v>
      </c>
      <c r="C184" s="28" t="s">
        <v>1065</v>
      </c>
      <c r="D184" s="27" t="s">
        <v>53</v>
      </c>
      <c r="E184" s="426">
        <f t="shared" si="24"/>
        <v>299</v>
      </c>
      <c r="F184" s="426">
        <v>285</v>
      </c>
      <c r="G184" s="426">
        <v>14</v>
      </c>
      <c r="H184" s="433">
        <v>0</v>
      </c>
      <c r="I184" s="433"/>
      <c r="J184" s="433"/>
      <c r="K184" s="433"/>
      <c r="L184" s="433"/>
      <c r="M184" s="433"/>
      <c r="N184" s="433"/>
      <c r="O184" s="426">
        <f t="shared" si="25"/>
        <v>0</v>
      </c>
      <c r="P184" s="433"/>
      <c r="Q184" s="433"/>
      <c r="R184" s="433"/>
      <c r="S184" s="15"/>
    </row>
    <row r="185" spans="1:19" ht="30">
      <c r="A185" s="8">
        <v>9</v>
      </c>
      <c r="B185" s="340" t="s">
        <v>416</v>
      </c>
      <c r="C185" s="28" t="s">
        <v>952</v>
      </c>
      <c r="D185" s="27" t="s">
        <v>53</v>
      </c>
      <c r="E185" s="426">
        <f t="shared" si="24"/>
        <v>683</v>
      </c>
      <c r="F185" s="426">
        <v>650</v>
      </c>
      <c r="G185" s="426">
        <v>33</v>
      </c>
      <c r="H185" s="433">
        <v>0</v>
      </c>
      <c r="I185" s="433"/>
      <c r="J185" s="433"/>
      <c r="K185" s="433"/>
      <c r="L185" s="433"/>
      <c r="M185" s="433"/>
      <c r="N185" s="433"/>
      <c r="O185" s="426">
        <f t="shared" si="25"/>
        <v>0</v>
      </c>
      <c r="P185" s="433"/>
      <c r="Q185" s="433"/>
      <c r="R185" s="433"/>
      <c r="S185" s="15"/>
    </row>
    <row r="186" spans="1:19" ht="30">
      <c r="A186" s="8">
        <v>10</v>
      </c>
      <c r="B186" s="340" t="s">
        <v>418</v>
      </c>
      <c r="C186" s="28" t="s">
        <v>1066</v>
      </c>
      <c r="D186" s="27" t="s">
        <v>54</v>
      </c>
      <c r="E186" s="426">
        <f t="shared" si="24"/>
        <v>499</v>
      </c>
      <c r="F186" s="426">
        <v>475</v>
      </c>
      <c r="G186" s="426">
        <v>24</v>
      </c>
      <c r="H186" s="433">
        <v>0</v>
      </c>
      <c r="I186" s="433"/>
      <c r="J186" s="433"/>
      <c r="K186" s="433"/>
      <c r="L186" s="433"/>
      <c r="M186" s="433"/>
      <c r="N186" s="433"/>
      <c r="O186" s="426">
        <f t="shared" si="25"/>
        <v>0</v>
      </c>
      <c r="P186" s="433"/>
      <c r="Q186" s="433"/>
      <c r="R186" s="433"/>
      <c r="S186" s="15"/>
    </row>
    <row r="187" spans="1:19" ht="30">
      <c r="A187" s="8">
        <v>11</v>
      </c>
      <c r="B187" s="340" t="s">
        <v>420</v>
      </c>
      <c r="C187" s="28" t="s">
        <v>954</v>
      </c>
      <c r="D187" s="27" t="s">
        <v>54</v>
      </c>
      <c r="E187" s="426">
        <f t="shared" si="24"/>
        <v>1998</v>
      </c>
      <c r="F187" s="426">
        <v>1903</v>
      </c>
      <c r="G187" s="426">
        <v>95</v>
      </c>
      <c r="H187" s="433">
        <v>0</v>
      </c>
      <c r="I187" s="433"/>
      <c r="J187" s="433"/>
      <c r="K187" s="433"/>
      <c r="L187" s="433"/>
      <c r="M187" s="433"/>
      <c r="N187" s="433"/>
      <c r="O187" s="426">
        <f t="shared" si="25"/>
        <v>0</v>
      </c>
      <c r="P187" s="433"/>
      <c r="Q187" s="433"/>
      <c r="R187" s="433"/>
      <c r="S187" s="15"/>
    </row>
    <row r="188" spans="1:19" ht="45">
      <c r="A188" s="8">
        <v>12</v>
      </c>
      <c r="B188" s="340" t="s">
        <v>422</v>
      </c>
      <c r="C188" s="28" t="s">
        <v>1064</v>
      </c>
      <c r="D188" s="27" t="s">
        <v>54</v>
      </c>
      <c r="E188" s="426">
        <f t="shared" si="24"/>
        <v>250</v>
      </c>
      <c r="F188" s="426">
        <v>238</v>
      </c>
      <c r="G188" s="426">
        <v>12</v>
      </c>
      <c r="H188" s="433">
        <v>0</v>
      </c>
      <c r="I188" s="433"/>
      <c r="J188" s="433"/>
      <c r="K188" s="433"/>
      <c r="L188" s="433"/>
      <c r="M188" s="433"/>
      <c r="N188" s="433"/>
      <c r="O188" s="426">
        <f t="shared" si="25"/>
        <v>0</v>
      </c>
      <c r="P188" s="433"/>
      <c r="Q188" s="433"/>
      <c r="R188" s="433"/>
      <c r="S188" s="15"/>
    </row>
    <row r="189" spans="1:19" ht="45">
      <c r="A189" s="8">
        <v>13</v>
      </c>
      <c r="B189" s="340" t="s">
        <v>423</v>
      </c>
      <c r="C189" s="28" t="s">
        <v>1062</v>
      </c>
      <c r="D189" s="27" t="s">
        <v>55</v>
      </c>
      <c r="E189" s="426">
        <f t="shared" si="24"/>
        <v>251</v>
      </c>
      <c r="F189" s="426">
        <v>239</v>
      </c>
      <c r="G189" s="426">
        <v>12</v>
      </c>
      <c r="H189" s="433">
        <v>0</v>
      </c>
      <c r="I189" s="433"/>
      <c r="J189" s="433"/>
      <c r="K189" s="433"/>
      <c r="L189" s="433"/>
      <c r="M189" s="433"/>
      <c r="N189" s="433"/>
      <c r="O189" s="426">
        <f t="shared" si="25"/>
        <v>0</v>
      </c>
      <c r="P189" s="433"/>
      <c r="Q189" s="433"/>
      <c r="R189" s="433"/>
      <c r="S189" s="15"/>
    </row>
    <row r="190" spans="1:19" ht="30">
      <c r="A190" s="8">
        <v>14</v>
      </c>
      <c r="B190" s="340" t="s">
        <v>424</v>
      </c>
      <c r="C190" s="28" t="s">
        <v>1066</v>
      </c>
      <c r="D190" s="27" t="s">
        <v>55</v>
      </c>
      <c r="E190" s="426">
        <f t="shared" si="24"/>
        <v>299</v>
      </c>
      <c r="F190" s="426">
        <v>285</v>
      </c>
      <c r="G190" s="426">
        <v>14</v>
      </c>
      <c r="H190" s="433">
        <v>0</v>
      </c>
      <c r="I190" s="433"/>
      <c r="J190" s="433"/>
      <c r="K190" s="433"/>
      <c r="L190" s="433"/>
      <c r="M190" s="433"/>
      <c r="N190" s="433"/>
      <c r="O190" s="426">
        <f t="shared" si="25"/>
        <v>0</v>
      </c>
      <c r="P190" s="433"/>
      <c r="Q190" s="433"/>
      <c r="R190" s="433"/>
      <c r="S190" s="15"/>
    </row>
    <row r="191" spans="1:19" ht="45">
      <c r="A191" s="8">
        <v>15</v>
      </c>
      <c r="B191" s="340" t="s">
        <v>425</v>
      </c>
      <c r="C191" s="28" t="s">
        <v>1067</v>
      </c>
      <c r="D191" s="27" t="s">
        <v>55</v>
      </c>
      <c r="E191" s="426">
        <f t="shared" si="24"/>
        <v>200</v>
      </c>
      <c r="F191" s="426">
        <v>190</v>
      </c>
      <c r="G191" s="426">
        <v>10</v>
      </c>
      <c r="H191" s="433">
        <v>0</v>
      </c>
      <c r="I191" s="433"/>
      <c r="J191" s="433"/>
      <c r="K191" s="433"/>
      <c r="L191" s="433"/>
      <c r="M191" s="433"/>
      <c r="N191" s="433"/>
      <c r="O191" s="426">
        <f t="shared" si="25"/>
        <v>0</v>
      </c>
      <c r="P191" s="433"/>
      <c r="Q191" s="433"/>
      <c r="R191" s="433"/>
      <c r="S191" s="15"/>
    </row>
    <row r="192" spans="1:19" ht="30">
      <c r="A192" s="8">
        <v>16</v>
      </c>
      <c r="B192" s="363" t="s">
        <v>805</v>
      </c>
      <c r="C192" s="28" t="s">
        <v>1068</v>
      </c>
      <c r="D192" s="27" t="s">
        <v>55</v>
      </c>
      <c r="E192" s="426">
        <f t="shared" si="24"/>
        <v>1000</v>
      </c>
      <c r="F192" s="426">
        <v>952</v>
      </c>
      <c r="G192" s="426">
        <v>48</v>
      </c>
      <c r="H192" s="433">
        <v>0</v>
      </c>
      <c r="I192" s="433"/>
      <c r="J192" s="433"/>
      <c r="K192" s="433"/>
      <c r="L192" s="433"/>
      <c r="M192" s="433"/>
      <c r="N192" s="433"/>
      <c r="O192" s="426">
        <f t="shared" si="25"/>
        <v>0</v>
      </c>
      <c r="P192" s="433"/>
      <c r="Q192" s="433"/>
      <c r="R192" s="433"/>
      <c r="S192" s="15"/>
    </row>
    <row r="193" spans="1:19" ht="30">
      <c r="A193" s="8">
        <v>17</v>
      </c>
      <c r="B193" s="340" t="s">
        <v>429</v>
      </c>
      <c r="C193" s="28" t="s">
        <v>954</v>
      </c>
      <c r="D193" s="27" t="s">
        <v>55</v>
      </c>
      <c r="E193" s="426">
        <f t="shared" si="24"/>
        <v>200</v>
      </c>
      <c r="F193" s="426">
        <v>190</v>
      </c>
      <c r="G193" s="426">
        <v>10</v>
      </c>
      <c r="H193" s="433">
        <v>0</v>
      </c>
      <c r="I193" s="433"/>
      <c r="J193" s="433"/>
      <c r="K193" s="433"/>
      <c r="L193" s="433"/>
      <c r="M193" s="433"/>
      <c r="N193" s="433"/>
      <c r="O193" s="426">
        <f t="shared" si="25"/>
        <v>0</v>
      </c>
      <c r="P193" s="433"/>
      <c r="Q193" s="433"/>
      <c r="R193" s="433"/>
      <c r="S193" s="15"/>
    </row>
    <row r="194" spans="1:19" ht="45">
      <c r="A194" s="8">
        <v>18</v>
      </c>
      <c r="B194" s="340" t="s">
        <v>431</v>
      </c>
      <c r="C194" s="28" t="s">
        <v>1067</v>
      </c>
      <c r="D194" s="27" t="s">
        <v>55</v>
      </c>
      <c r="E194" s="426">
        <f t="shared" si="24"/>
        <v>251</v>
      </c>
      <c r="F194" s="426">
        <v>239</v>
      </c>
      <c r="G194" s="426">
        <v>12</v>
      </c>
      <c r="H194" s="433">
        <v>0</v>
      </c>
      <c r="I194" s="433"/>
      <c r="J194" s="433"/>
      <c r="K194" s="433"/>
      <c r="L194" s="433"/>
      <c r="M194" s="433"/>
      <c r="N194" s="433"/>
      <c r="O194" s="426">
        <f t="shared" si="25"/>
        <v>0</v>
      </c>
      <c r="P194" s="433"/>
      <c r="Q194" s="433"/>
      <c r="R194" s="433"/>
      <c r="S194" s="15"/>
    </row>
    <row r="195" spans="1:19" ht="30">
      <c r="A195" s="8">
        <v>19</v>
      </c>
      <c r="B195" s="340" t="s">
        <v>432</v>
      </c>
      <c r="C195" s="28" t="s">
        <v>1068</v>
      </c>
      <c r="D195" s="27" t="s">
        <v>55</v>
      </c>
      <c r="E195" s="426">
        <f t="shared" si="24"/>
        <v>250.95</v>
      </c>
      <c r="F195" s="426">
        <v>238.95</v>
      </c>
      <c r="G195" s="426">
        <v>12</v>
      </c>
      <c r="H195" s="433">
        <v>0</v>
      </c>
      <c r="I195" s="433"/>
      <c r="J195" s="433"/>
      <c r="K195" s="433"/>
      <c r="L195" s="433"/>
      <c r="M195" s="433"/>
      <c r="N195" s="433"/>
      <c r="O195" s="426">
        <f t="shared" si="25"/>
        <v>0</v>
      </c>
      <c r="P195" s="433"/>
      <c r="Q195" s="433"/>
      <c r="R195" s="433"/>
      <c r="S195" s="15"/>
    </row>
    <row r="196" spans="1:19">
      <c r="A196" s="6" t="s">
        <v>1000</v>
      </c>
      <c r="B196" s="339" t="s">
        <v>434</v>
      </c>
      <c r="C196" s="24"/>
      <c r="D196" s="23"/>
      <c r="E196" s="429">
        <f>SUM(E197:E200)</f>
        <v>1504.28</v>
      </c>
      <c r="F196" s="429">
        <f t="shared" ref="F196:R196" si="28">SUM(F197:F200)</f>
        <v>1432.65</v>
      </c>
      <c r="G196" s="429">
        <f t="shared" si="28"/>
        <v>71.63</v>
      </c>
      <c r="H196" s="429">
        <f t="shared" si="28"/>
        <v>0</v>
      </c>
      <c r="I196" s="429"/>
      <c r="J196" s="429"/>
      <c r="K196" s="429"/>
      <c r="L196" s="429"/>
      <c r="M196" s="429"/>
      <c r="N196" s="429"/>
      <c r="O196" s="429">
        <f t="shared" si="28"/>
        <v>270.74</v>
      </c>
      <c r="P196" s="429">
        <f t="shared" si="28"/>
        <v>257.85000000000002</v>
      </c>
      <c r="Q196" s="429">
        <f t="shared" si="28"/>
        <v>12.89</v>
      </c>
      <c r="R196" s="429">
        <f t="shared" si="28"/>
        <v>0</v>
      </c>
      <c r="S196" s="16"/>
    </row>
    <row r="197" spans="1:19" ht="45">
      <c r="A197" s="8">
        <v>1</v>
      </c>
      <c r="B197" s="328" t="s">
        <v>435</v>
      </c>
      <c r="C197" s="8" t="s">
        <v>951</v>
      </c>
      <c r="D197" s="27" t="s">
        <v>52</v>
      </c>
      <c r="E197" s="426">
        <f t="shared" si="24"/>
        <v>270.74</v>
      </c>
      <c r="F197" s="426">
        <v>257.85000000000002</v>
      </c>
      <c r="G197" s="426">
        <v>12.89</v>
      </c>
      <c r="H197" s="433">
        <v>0</v>
      </c>
      <c r="I197" s="433"/>
      <c r="J197" s="433"/>
      <c r="K197" s="433"/>
      <c r="L197" s="433"/>
      <c r="M197" s="433"/>
      <c r="N197" s="433"/>
      <c r="O197" s="426">
        <f t="shared" si="25"/>
        <v>270.74</v>
      </c>
      <c r="P197" s="426">
        <v>257.85000000000002</v>
      </c>
      <c r="Q197" s="426">
        <v>12.89</v>
      </c>
      <c r="R197" s="433"/>
      <c r="S197" s="15"/>
    </row>
    <row r="198" spans="1:19" ht="45">
      <c r="A198" s="8">
        <v>2</v>
      </c>
      <c r="B198" s="328" t="s">
        <v>435</v>
      </c>
      <c r="C198" s="8" t="s">
        <v>951</v>
      </c>
      <c r="D198" s="8" t="s">
        <v>53</v>
      </c>
      <c r="E198" s="426">
        <f t="shared" si="24"/>
        <v>328.34</v>
      </c>
      <c r="F198" s="426">
        <v>312.7</v>
      </c>
      <c r="G198" s="426">
        <v>15.64</v>
      </c>
      <c r="H198" s="433">
        <v>0</v>
      </c>
      <c r="I198" s="433"/>
      <c r="J198" s="433"/>
      <c r="K198" s="433"/>
      <c r="L198" s="433"/>
      <c r="M198" s="433"/>
      <c r="N198" s="433"/>
      <c r="O198" s="426">
        <f t="shared" si="25"/>
        <v>0</v>
      </c>
      <c r="P198" s="433"/>
      <c r="Q198" s="433"/>
      <c r="R198" s="433"/>
      <c r="S198" s="15"/>
    </row>
    <row r="199" spans="1:19" ht="45">
      <c r="A199" s="8">
        <v>3</v>
      </c>
      <c r="B199" s="340" t="s">
        <v>438</v>
      </c>
      <c r="C199" s="8" t="s">
        <v>951</v>
      </c>
      <c r="D199" s="8" t="s">
        <v>54</v>
      </c>
      <c r="E199" s="426">
        <f t="shared" si="24"/>
        <v>480.9</v>
      </c>
      <c r="F199" s="426">
        <v>458</v>
      </c>
      <c r="G199" s="426">
        <v>22.9</v>
      </c>
      <c r="H199" s="433">
        <v>0</v>
      </c>
      <c r="I199" s="433"/>
      <c r="J199" s="433"/>
      <c r="K199" s="433"/>
      <c r="L199" s="433"/>
      <c r="M199" s="433"/>
      <c r="N199" s="433"/>
      <c r="O199" s="426">
        <f t="shared" si="25"/>
        <v>0</v>
      </c>
      <c r="P199" s="433"/>
      <c r="Q199" s="433"/>
      <c r="R199" s="433"/>
      <c r="S199" s="15"/>
    </row>
    <row r="200" spans="1:19" ht="45">
      <c r="A200" s="8">
        <v>4</v>
      </c>
      <c r="B200" s="328" t="s">
        <v>440</v>
      </c>
      <c r="C200" s="8" t="s">
        <v>951</v>
      </c>
      <c r="D200" s="8" t="s">
        <v>55</v>
      </c>
      <c r="E200" s="426">
        <f t="shared" si="24"/>
        <v>424.3</v>
      </c>
      <c r="F200" s="426">
        <v>404.1</v>
      </c>
      <c r="G200" s="426">
        <v>20.2</v>
      </c>
      <c r="H200" s="433">
        <v>0</v>
      </c>
      <c r="I200" s="433"/>
      <c r="J200" s="433"/>
      <c r="K200" s="433"/>
      <c r="L200" s="433"/>
      <c r="M200" s="433"/>
      <c r="N200" s="433"/>
      <c r="O200" s="426">
        <f t="shared" si="25"/>
        <v>0</v>
      </c>
      <c r="P200" s="433"/>
      <c r="Q200" s="433"/>
      <c r="R200" s="433"/>
      <c r="S200" s="15"/>
    </row>
    <row r="201" spans="1:19">
      <c r="A201" s="6" t="s">
        <v>1001</v>
      </c>
      <c r="B201" s="326" t="s">
        <v>443</v>
      </c>
      <c r="C201" s="6"/>
      <c r="D201" s="23"/>
      <c r="E201" s="429">
        <f>SUM(E202:E214)</f>
        <v>10094.74</v>
      </c>
      <c r="F201" s="429">
        <f t="shared" ref="F201:R201" si="29">SUM(F202:F214)</f>
        <v>9614.0400000000009</v>
      </c>
      <c r="G201" s="429">
        <f t="shared" si="29"/>
        <v>480.7</v>
      </c>
      <c r="H201" s="429">
        <f t="shared" si="29"/>
        <v>0</v>
      </c>
      <c r="I201" s="429"/>
      <c r="J201" s="429"/>
      <c r="K201" s="429"/>
      <c r="L201" s="429"/>
      <c r="M201" s="429"/>
      <c r="N201" s="429"/>
      <c r="O201" s="429">
        <f t="shared" si="29"/>
        <v>1816.87</v>
      </c>
      <c r="P201" s="429">
        <f t="shared" si="29"/>
        <v>1730.35</v>
      </c>
      <c r="Q201" s="429">
        <f t="shared" si="29"/>
        <v>86.52</v>
      </c>
      <c r="R201" s="429">
        <f t="shared" si="29"/>
        <v>0</v>
      </c>
      <c r="S201" s="16"/>
    </row>
    <row r="202" spans="1:19" ht="45">
      <c r="A202" s="8">
        <v>1</v>
      </c>
      <c r="B202" s="328" t="s">
        <v>444</v>
      </c>
      <c r="C202" s="8" t="s">
        <v>950</v>
      </c>
      <c r="D202" s="8" t="s">
        <v>52</v>
      </c>
      <c r="E202" s="426">
        <f t="shared" si="24"/>
        <v>1396.87</v>
      </c>
      <c r="F202" s="426">
        <v>1330.35</v>
      </c>
      <c r="G202" s="426">
        <v>66.52</v>
      </c>
      <c r="H202" s="433">
        <v>0</v>
      </c>
      <c r="I202" s="433"/>
      <c r="J202" s="433"/>
      <c r="K202" s="433"/>
      <c r="L202" s="433"/>
      <c r="M202" s="433"/>
      <c r="N202" s="433"/>
      <c r="O202" s="426">
        <f t="shared" si="25"/>
        <v>1396.87</v>
      </c>
      <c r="P202" s="426">
        <v>1330.35</v>
      </c>
      <c r="Q202" s="426">
        <v>66.52</v>
      </c>
      <c r="R202" s="433"/>
      <c r="S202" s="15"/>
    </row>
    <row r="203" spans="1:19" ht="45">
      <c r="A203" s="8">
        <v>2</v>
      </c>
      <c r="B203" s="328" t="s">
        <v>447</v>
      </c>
      <c r="C203" s="8" t="s">
        <v>950</v>
      </c>
      <c r="D203" s="8" t="s">
        <v>52</v>
      </c>
      <c r="E203" s="426">
        <f t="shared" si="24"/>
        <v>420</v>
      </c>
      <c r="F203" s="426">
        <v>400</v>
      </c>
      <c r="G203" s="426">
        <v>20</v>
      </c>
      <c r="H203" s="433">
        <v>0</v>
      </c>
      <c r="I203" s="433"/>
      <c r="J203" s="433"/>
      <c r="K203" s="433"/>
      <c r="L203" s="433"/>
      <c r="M203" s="433"/>
      <c r="N203" s="433"/>
      <c r="O203" s="426">
        <f t="shared" si="25"/>
        <v>420</v>
      </c>
      <c r="P203" s="426">
        <v>400</v>
      </c>
      <c r="Q203" s="426">
        <v>20</v>
      </c>
      <c r="R203" s="433"/>
      <c r="S203" s="15"/>
    </row>
    <row r="204" spans="1:19" ht="45">
      <c r="A204" s="8">
        <v>3</v>
      </c>
      <c r="B204" s="341" t="s">
        <v>448</v>
      </c>
      <c r="C204" s="8" t="s">
        <v>1069</v>
      </c>
      <c r="D204" s="8" t="s">
        <v>53</v>
      </c>
      <c r="E204" s="426">
        <f t="shared" si="24"/>
        <v>1365</v>
      </c>
      <c r="F204" s="426">
        <v>1300</v>
      </c>
      <c r="G204" s="426">
        <v>65</v>
      </c>
      <c r="H204" s="433"/>
      <c r="I204" s="433"/>
      <c r="J204" s="433"/>
      <c r="K204" s="433"/>
      <c r="L204" s="433"/>
      <c r="M204" s="433"/>
      <c r="N204" s="433"/>
      <c r="O204" s="426">
        <f t="shared" si="25"/>
        <v>0</v>
      </c>
      <c r="P204" s="433"/>
      <c r="Q204" s="433"/>
      <c r="R204" s="433"/>
      <c r="S204" s="15"/>
    </row>
    <row r="205" spans="1:19" ht="30">
      <c r="A205" s="8">
        <v>4</v>
      </c>
      <c r="B205" s="328" t="s">
        <v>451</v>
      </c>
      <c r="C205" s="8" t="s">
        <v>1070</v>
      </c>
      <c r="D205" s="8" t="s">
        <v>53</v>
      </c>
      <c r="E205" s="426">
        <f t="shared" si="24"/>
        <v>420</v>
      </c>
      <c r="F205" s="426">
        <v>400</v>
      </c>
      <c r="G205" s="426">
        <v>20</v>
      </c>
      <c r="H205" s="433">
        <v>0</v>
      </c>
      <c r="I205" s="433"/>
      <c r="J205" s="433"/>
      <c r="K205" s="433"/>
      <c r="L205" s="433"/>
      <c r="M205" s="433"/>
      <c r="N205" s="433"/>
      <c r="O205" s="426">
        <f t="shared" si="25"/>
        <v>0</v>
      </c>
      <c r="P205" s="433"/>
      <c r="Q205" s="433"/>
      <c r="R205" s="433"/>
      <c r="S205" s="15"/>
    </row>
    <row r="206" spans="1:19" ht="30">
      <c r="A206" s="8">
        <v>5</v>
      </c>
      <c r="B206" s="341" t="s">
        <v>453</v>
      </c>
      <c r="C206" s="8" t="s">
        <v>1071</v>
      </c>
      <c r="D206" s="8" t="s">
        <v>53</v>
      </c>
      <c r="E206" s="426">
        <f t="shared" si="24"/>
        <v>1050</v>
      </c>
      <c r="F206" s="426">
        <v>1000</v>
      </c>
      <c r="G206" s="426">
        <v>50</v>
      </c>
      <c r="H206" s="433">
        <v>0</v>
      </c>
      <c r="I206" s="433"/>
      <c r="J206" s="433"/>
      <c r="K206" s="433"/>
      <c r="L206" s="433"/>
      <c r="M206" s="433"/>
      <c r="N206" s="433"/>
      <c r="O206" s="426">
        <f t="shared" si="25"/>
        <v>0</v>
      </c>
      <c r="P206" s="433"/>
      <c r="Q206" s="433"/>
      <c r="R206" s="433"/>
      <c r="S206" s="15"/>
    </row>
    <row r="207" spans="1:19" ht="30">
      <c r="A207" s="8">
        <v>6</v>
      </c>
      <c r="B207" s="328" t="s">
        <v>456</v>
      </c>
      <c r="C207" s="8" t="s">
        <v>1071</v>
      </c>
      <c r="D207" s="8" t="s">
        <v>54</v>
      </c>
      <c r="E207" s="426">
        <f t="shared" si="24"/>
        <v>420</v>
      </c>
      <c r="F207" s="426">
        <v>400</v>
      </c>
      <c r="G207" s="426">
        <v>20</v>
      </c>
      <c r="H207" s="433">
        <v>0</v>
      </c>
      <c r="I207" s="433"/>
      <c r="J207" s="433"/>
      <c r="K207" s="433"/>
      <c r="L207" s="433"/>
      <c r="M207" s="433"/>
      <c r="N207" s="433"/>
      <c r="O207" s="426">
        <f t="shared" si="25"/>
        <v>0</v>
      </c>
      <c r="P207" s="433"/>
      <c r="Q207" s="433"/>
      <c r="R207" s="433"/>
      <c r="S207" s="15"/>
    </row>
    <row r="208" spans="1:19" ht="45">
      <c r="A208" s="8">
        <v>7</v>
      </c>
      <c r="B208" s="341" t="s">
        <v>457</v>
      </c>
      <c r="C208" s="8" t="s">
        <v>1069</v>
      </c>
      <c r="D208" s="8" t="s">
        <v>54</v>
      </c>
      <c r="E208" s="426">
        <f t="shared" si="24"/>
        <v>1155</v>
      </c>
      <c r="F208" s="426">
        <v>1100</v>
      </c>
      <c r="G208" s="426">
        <v>55</v>
      </c>
      <c r="H208" s="433">
        <v>0</v>
      </c>
      <c r="I208" s="433"/>
      <c r="J208" s="433"/>
      <c r="K208" s="433"/>
      <c r="L208" s="433"/>
      <c r="M208" s="433"/>
      <c r="N208" s="433"/>
      <c r="O208" s="426">
        <f t="shared" si="25"/>
        <v>0</v>
      </c>
      <c r="P208" s="433"/>
      <c r="Q208" s="433"/>
      <c r="R208" s="433"/>
      <c r="S208" s="15"/>
    </row>
    <row r="209" spans="1:19" ht="45">
      <c r="A209" s="8">
        <v>8</v>
      </c>
      <c r="B209" s="328" t="s">
        <v>459</v>
      </c>
      <c r="C209" s="8" t="s">
        <v>1072</v>
      </c>
      <c r="D209" s="8" t="s">
        <v>54</v>
      </c>
      <c r="E209" s="426">
        <f t="shared" si="24"/>
        <v>840</v>
      </c>
      <c r="F209" s="426">
        <v>800</v>
      </c>
      <c r="G209" s="426">
        <v>40</v>
      </c>
      <c r="H209" s="433">
        <v>0</v>
      </c>
      <c r="I209" s="433"/>
      <c r="J209" s="433"/>
      <c r="K209" s="433"/>
      <c r="L209" s="433"/>
      <c r="M209" s="433"/>
      <c r="N209" s="433"/>
      <c r="O209" s="426">
        <f t="shared" si="25"/>
        <v>0</v>
      </c>
      <c r="P209" s="433"/>
      <c r="Q209" s="433"/>
      <c r="R209" s="433"/>
      <c r="S209" s="15"/>
    </row>
    <row r="210" spans="1:19" ht="30">
      <c r="A210" s="8">
        <v>9</v>
      </c>
      <c r="B210" s="328" t="s">
        <v>462</v>
      </c>
      <c r="C210" s="8" t="s">
        <v>1073</v>
      </c>
      <c r="D210" s="8" t="s">
        <v>54</v>
      </c>
      <c r="E210" s="426">
        <f t="shared" ref="E210:E261" si="30">F210+G210</f>
        <v>420</v>
      </c>
      <c r="F210" s="426">
        <v>400</v>
      </c>
      <c r="G210" s="426">
        <v>20</v>
      </c>
      <c r="H210" s="433">
        <v>0</v>
      </c>
      <c r="I210" s="433"/>
      <c r="J210" s="433"/>
      <c r="K210" s="433"/>
      <c r="L210" s="433"/>
      <c r="M210" s="433"/>
      <c r="N210" s="433"/>
      <c r="O210" s="426">
        <f t="shared" ref="O210:O261" si="31">P210+Q210</f>
        <v>0</v>
      </c>
      <c r="P210" s="433"/>
      <c r="Q210" s="433"/>
      <c r="R210" s="433"/>
      <c r="S210" s="15"/>
    </row>
    <row r="211" spans="1:19" ht="30">
      <c r="A211" s="8">
        <v>10</v>
      </c>
      <c r="B211" s="328" t="s">
        <v>464</v>
      </c>
      <c r="C211" s="8" t="s">
        <v>1073</v>
      </c>
      <c r="D211" s="8" t="s">
        <v>55</v>
      </c>
      <c r="E211" s="426">
        <f t="shared" si="30"/>
        <v>822.87</v>
      </c>
      <c r="F211" s="426">
        <v>783.69</v>
      </c>
      <c r="G211" s="426">
        <v>39.18</v>
      </c>
      <c r="H211" s="433">
        <v>0</v>
      </c>
      <c r="I211" s="433"/>
      <c r="J211" s="433"/>
      <c r="K211" s="433"/>
      <c r="L211" s="433"/>
      <c r="M211" s="433"/>
      <c r="N211" s="433"/>
      <c r="O211" s="426">
        <f t="shared" si="31"/>
        <v>0</v>
      </c>
      <c r="P211" s="433"/>
      <c r="Q211" s="433"/>
      <c r="R211" s="433"/>
      <c r="S211" s="15"/>
    </row>
    <row r="212" spans="1:19" ht="45">
      <c r="A212" s="8">
        <v>11</v>
      </c>
      <c r="B212" s="328" t="s">
        <v>465</v>
      </c>
      <c r="C212" s="8" t="s">
        <v>1071</v>
      </c>
      <c r="D212" s="8" t="s">
        <v>55</v>
      </c>
      <c r="E212" s="426">
        <f t="shared" si="30"/>
        <v>1260</v>
      </c>
      <c r="F212" s="426">
        <v>1200</v>
      </c>
      <c r="G212" s="426">
        <v>60</v>
      </c>
      <c r="H212" s="433">
        <v>0</v>
      </c>
      <c r="I212" s="433"/>
      <c r="J212" s="433"/>
      <c r="K212" s="433"/>
      <c r="L212" s="433"/>
      <c r="M212" s="433"/>
      <c r="N212" s="433"/>
      <c r="O212" s="426">
        <f t="shared" si="31"/>
        <v>0</v>
      </c>
      <c r="P212" s="433"/>
      <c r="Q212" s="433"/>
      <c r="R212" s="433"/>
      <c r="S212" s="15"/>
    </row>
    <row r="213" spans="1:19" ht="45">
      <c r="A213" s="8">
        <v>12</v>
      </c>
      <c r="B213" s="328" t="s">
        <v>466</v>
      </c>
      <c r="C213" s="8" t="s">
        <v>950</v>
      </c>
      <c r="D213" s="8" t="s">
        <v>55</v>
      </c>
      <c r="E213" s="426">
        <f t="shared" si="30"/>
        <v>315</v>
      </c>
      <c r="F213" s="426">
        <v>300</v>
      </c>
      <c r="G213" s="426">
        <v>15</v>
      </c>
      <c r="H213" s="433">
        <v>0</v>
      </c>
      <c r="I213" s="433"/>
      <c r="J213" s="433"/>
      <c r="K213" s="433"/>
      <c r="L213" s="433"/>
      <c r="M213" s="433"/>
      <c r="N213" s="433"/>
      <c r="O213" s="426">
        <f t="shared" si="31"/>
        <v>0</v>
      </c>
      <c r="P213" s="433"/>
      <c r="Q213" s="433"/>
      <c r="R213" s="433"/>
      <c r="S213" s="15"/>
    </row>
    <row r="214" spans="1:19" ht="45">
      <c r="A214" s="8">
        <v>13</v>
      </c>
      <c r="B214" s="328" t="s">
        <v>468</v>
      </c>
      <c r="C214" s="8" t="s">
        <v>1074</v>
      </c>
      <c r="D214" s="8" t="s">
        <v>55</v>
      </c>
      <c r="E214" s="426">
        <f t="shared" si="30"/>
        <v>210</v>
      </c>
      <c r="F214" s="426">
        <v>200</v>
      </c>
      <c r="G214" s="426">
        <v>10</v>
      </c>
      <c r="H214" s="433">
        <v>0</v>
      </c>
      <c r="I214" s="433"/>
      <c r="J214" s="433"/>
      <c r="K214" s="433"/>
      <c r="L214" s="433"/>
      <c r="M214" s="433"/>
      <c r="N214" s="433"/>
      <c r="O214" s="426">
        <f t="shared" si="31"/>
        <v>0</v>
      </c>
      <c r="P214" s="433"/>
      <c r="Q214" s="433"/>
      <c r="R214" s="433"/>
      <c r="S214" s="15"/>
    </row>
    <row r="215" spans="1:19">
      <c r="A215" s="20" t="s">
        <v>1002</v>
      </c>
      <c r="B215" s="342" t="s">
        <v>472</v>
      </c>
      <c r="C215" s="24"/>
      <c r="D215" s="23"/>
      <c r="E215" s="429">
        <f>SUM(E216:E228)</f>
        <v>10098.000000000002</v>
      </c>
      <c r="F215" s="429">
        <f t="shared" ref="F215:R215" si="32">SUM(F216:F228)</f>
        <v>9617.14</v>
      </c>
      <c r="G215" s="429">
        <f t="shared" si="32"/>
        <v>480.85999999999996</v>
      </c>
      <c r="H215" s="429">
        <f t="shared" si="32"/>
        <v>0</v>
      </c>
      <c r="I215" s="429"/>
      <c r="J215" s="429"/>
      <c r="K215" s="429"/>
      <c r="L215" s="429"/>
      <c r="M215" s="429"/>
      <c r="N215" s="429"/>
      <c r="O215" s="429">
        <f t="shared" si="32"/>
        <v>1817.46</v>
      </c>
      <c r="P215" s="429">
        <f t="shared" si="32"/>
        <v>1730.91</v>
      </c>
      <c r="Q215" s="429">
        <f t="shared" si="32"/>
        <v>86.55</v>
      </c>
      <c r="R215" s="429">
        <f t="shared" si="32"/>
        <v>0</v>
      </c>
      <c r="S215" s="16"/>
    </row>
    <row r="216" spans="1:19" ht="45">
      <c r="A216" s="19">
        <v>1</v>
      </c>
      <c r="B216" s="343" t="s">
        <v>473</v>
      </c>
      <c r="C216" s="19" t="s">
        <v>949</v>
      </c>
      <c r="D216" s="8" t="s">
        <v>52</v>
      </c>
      <c r="E216" s="426">
        <f t="shared" si="30"/>
        <v>1817.46</v>
      </c>
      <c r="F216" s="426">
        <v>1730.91</v>
      </c>
      <c r="G216" s="426">
        <v>86.55</v>
      </c>
      <c r="H216" s="433">
        <v>0</v>
      </c>
      <c r="I216" s="433"/>
      <c r="J216" s="433"/>
      <c r="K216" s="433"/>
      <c r="L216" s="433"/>
      <c r="M216" s="433"/>
      <c r="N216" s="433"/>
      <c r="O216" s="426">
        <f t="shared" si="31"/>
        <v>1817.46</v>
      </c>
      <c r="P216" s="426">
        <v>1730.91</v>
      </c>
      <c r="Q216" s="426">
        <v>86.55</v>
      </c>
      <c r="R216" s="433"/>
      <c r="S216" s="15"/>
    </row>
    <row r="217" spans="1:19" ht="45">
      <c r="A217" s="19">
        <v>2</v>
      </c>
      <c r="B217" s="343" t="s">
        <v>476</v>
      </c>
      <c r="C217" s="19" t="s">
        <v>949</v>
      </c>
      <c r="D217" s="19" t="s">
        <v>53</v>
      </c>
      <c r="E217" s="426">
        <f t="shared" si="30"/>
        <v>468.3</v>
      </c>
      <c r="F217" s="426">
        <v>446</v>
      </c>
      <c r="G217" s="426">
        <v>22.3</v>
      </c>
      <c r="H217" s="433">
        <v>0</v>
      </c>
      <c r="I217" s="433"/>
      <c r="J217" s="433"/>
      <c r="K217" s="433"/>
      <c r="L217" s="433"/>
      <c r="M217" s="433"/>
      <c r="N217" s="433"/>
      <c r="O217" s="426">
        <f t="shared" si="31"/>
        <v>0</v>
      </c>
      <c r="P217" s="433"/>
      <c r="Q217" s="433"/>
      <c r="R217" s="433"/>
      <c r="S217" s="15"/>
    </row>
    <row r="218" spans="1:19" ht="30">
      <c r="A218" s="19">
        <v>3</v>
      </c>
      <c r="B218" s="343" t="s">
        <v>1086</v>
      </c>
      <c r="C218" s="19" t="s">
        <v>1075</v>
      </c>
      <c r="D218" s="19" t="s">
        <v>53</v>
      </c>
      <c r="E218" s="426">
        <f t="shared" si="30"/>
        <v>468.3</v>
      </c>
      <c r="F218" s="426">
        <v>446</v>
      </c>
      <c r="G218" s="426">
        <v>22.3</v>
      </c>
      <c r="H218" s="433">
        <v>0</v>
      </c>
      <c r="I218" s="433"/>
      <c r="J218" s="433"/>
      <c r="K218" s="433"/>
      <c r="L218" s="433"/>
      <c r="M218" s="433"/>
      <c r="N218" s="433"/>
      <c r="O218" s="426">
        <f t="shared" si="31"/>
        <v>0</v>
      </c>
      <c r="P218" s="433"/>
      <c r="Q218" s="433"/>
      <c r="R218" s="433"/>
      <c r="S218" s="15"/>
    </row>
    <row r="219" spans="1:19" ht="30">
      <c r="A219" s="19">
        <v>4</v>
      </c>
      <c r="B219" s="343" t="s">
        <v>479</v>
      </c>
      <c r="C219" s="19" t="s">
        <v>1076</v>
      </c>
      <c r="D219" s="19" t="s">
        <v>53</v>
      </c>
      <c r="E219" s="426">
        <f t="shared" si="30"/>
        <v>315</v>
      </c>
      <c r="F219" s="426">
        <v>300</v>
      </c>
      <c r="G219" s="426">
        <v>15</v>
      </c>
      <c r="H219" s="433">
        <v>0</v>
      </c>
      <c r="I219" s="433"/>
      <c r="J219" s="433"/>
      <c r="K219" s="433"/>
      <c r="L219" s="433"/>
      <c r="M219" s="433"/>
      <c r="N219" s="433"/>
      <c r="O219" s="426">
        <f t="shared" si="31"/>
        <v>0</v>
      </c>
      <c r="P219" s="433"/>
      <c r="Q219" s="433"/>
      <c r="R219" s="433"/>
      <c r="S219" s="15"/>
    </row>
    <row r="220" spans="1:19" ht="45">
      <c r="A220" s="19">
        <v>5</v>
      </c>
      <c r="B220" s="343" t="s">
        <v>481</v>
      </c>
      <c r="C220" s="19" t="s">
        <v>1087</v>
      </c>
      <c r="D220" s="19" t="s">
        <v>53</v>
      </c>
      <c r="E220" s="426">
        <f t="shared" si="30"/>
        <v>1323</v>
      </c>
      <c r="F220" s="426">
        <v>1260</v>
      </c>
      <c r="G220" s="426">
        <v>63</v>
      </c>
      <c r="H220" s="433">
        <v>0</v>
      </c>
      <c r="I220" s="433"/>
      <c r="J220" s="433"/>
      <c r="K220" s="433"/>
      <c r="L220" s="433"/>
      <c r="M220" s="433"/>
      <c r="N220" s="433"/>
      <c r="O220" s="426">
        <f t="shared" si="31"/>
        <v>0</v>
      </c>
      <c r="P220" s="433"/>
      <c r="Q220" s="433"/>
      <c r="R220" s="433"/>
      <c r="S220" s="15"/>
    </row>
    <row r="221" spans="1:19" ht="45">
      <c r="A221" s="19">
        <v>6</v>
      </c>
      <c r="B221" s="343" t="s">
        <v>484</v>
      </c>
      <c r="C221" s="19" t="s">
        <v>1087</v>
      </c>
      <c r="D221" s="19" t="s">
        <v>53</v>
      </c>
      <c r="E221" s="426">
        <f t="shared" si="30"/>
        <v>1050</v>
      </c>
      <c r="F221" s="426">
        <v>1000</v>
      </c>
      <c r="G221" s="426">
        <v>50</v>
      </c>
      <c r="H221" s="433">
        <v>0</v>
      </c>
      <c r="I221" s="433"/>
      <c r="J221" s="433"/>
      <c r="K221" s="433"/>
      <c r="L221" s="433"/>
      <c r="M221" s="433"/>
      <c r="N221" s="433"/>
      <c r="O221" s="426">
        <f t="shared" si="31"/>
        <v>0</v>
      </c>
      <c r="P221" s="433"/>
      <c r="Q221" s="433"/>
      <c r="R221" s="433"/>
      <c r="S221" s="15"/>
    </row>
    <row r="222" spans="1:19" ht="30">
      <c r="A222" s="8">
        <v>7</v>
      </c>
      <c r="B222" s="328" t="s">
        <v>485</v>
      </c>
      <c r="C222" s="8" t="s">
        <v>486</v>
      </c>
      <c r="D222" s="19" t="s">
        <v>54</v>
      </c>
      <c r="E222" s="426">
        <f t="shared" si="30"/>
        <v>525</v>
      </c>
      <c r="F222" s="426">
        <v>500</v>
      </c>
      <c r="G222" s="426">
        <v>25</v>
      </c>
      <c r="H222" s="433"/>
      <c r="I222" s="433"/>
      <c r="J222" s="433"/>
      <c r="K222" s="433"/>
      <c r="L222" s="433"/>
      <c r="M222" s="433"/>
      <c r="N222" s="433"/>
      <c r="O222" s="426">
        <f t="shared" si="31"/>
        <v>0</v>
      </c>
      <c r="P222" s="433"/>
      <c r="Q222" s="433"/>
      <c r="R222" s="433"/>
      <c r="S222" s="15"/>
    </row>
    <row r="223" spans="1:19" ht="30">
      <c r="A223" s="8">
        <v>8</v>
      </c>
      <c r="B223" s="328" t="s">
        <v>487</v>
      </c>
      <c r="C223" s="8" t="s">
        <v>472</v>
      </c>
      <c r="D223" s="19" t="s">
        <v>54</v>
      </c>
      <c r="E223" s="426">
        <f t="shared" si="30"/>
        <v>420</v>
      </c>
      <c r="F223" s="426">
        <v>400</v>
      </c>
      <c r="G223" s="426">
        <v>20</v>
      </c>
      <c r="H223" s="433"/>
      <c r="I223" s="433"/>
      <c r="J223" s="433"/>
      <c r="K223" s="433"/>
      <c r="L223" s="433"/>
      <c r="M223" s="433"/>
      <c r="N223" s="433"/>
      <c r="O223" s="426">
        <f t="shared" si="31"/>
        <v>0</v>
      </c>
      <c r="P223" s="433"/>
      <c r="Q223" s="433"/>
      <c r="R223" s="433"/>
      <c r="S223" s="15"/>
    </row>
    <row r="224" spans="1:19" ht="45">
      <c r="A224" s="8">
        <v>9</v>
      </c>
      <c r="B224" s="328" t="s">
        <v>489</v>
      </c>
      <c r="C224" s="8" t="s">
        <v>1077</v>
      </c>
      <c r="D224" s="19" t="s">
        <v>54</v>
      </c>
      <c r="E224" s="426">
        <f t="shared" si="30"/>
        <v>509.25</v>
      </c>
      <c r="F224" s="426">
        <v>485</v>
      </c>
      <c r="G224" s="426">
        <v>24.25</v>
      </c>
      <c r="H224" s="433"/>
      <c r="I224" s="433"/>
      <c r="J224" s="433"/>
      <c r="K224" s="433"/>
      <c r="L224" s="433"/>
      <c r="M224" s="433"/>
      <c r="N224" s="433"/>
      <c r="O224" s="426">
        <f t="shared" si="31"/>
        <v>0</v>
      </c>
      <c r="P224" s="433"/>
      <c r="Q224" s="433"/>
      <c r="R224" s="433"/>
      <c r="S224" s="15"/>
    </row>
    <row r="225" spans="1:19" ht="30">
      <c r="A225" s="8">
        <v>10</v>
      </c>
      <c r="B225" s="328" t="s">
        <v>490</v>
      </c>
      <c r="C225" s="8" t="s">
        <v>472</v>
      </c>
      <c r="D225" s="19" t="s">
        <v>54</v>
      </c>
      <c r="E225" s="426">
        <f t="shared" si="30"/>
        <v>525</v>
      </c>
      <c r="F225" s="426">
        <v>500</v>
      </c>
      <c r="G225" s="426">
        <v>25</v>
      </c>
      <c r="H225" s="433"/>
      <c r="I225" s="433"/>
      <c r="J225" s="433"/>
      <c r="K225" s="433"/>
      <c r="L225" s="433"/>
      <c r="M225" s="433"/>
      <c r="N225" s="433"/>
      <c r="O225" s="426">
        <f t="shared" si="31"/>
        <v>0</v>
      </c>
      <c r="P225" s="433"/>
      <c r="Q225" s="433"/>
      <c r="R225" s="433"/>
      <c r="S225" s="15"/>
    </row>
    <row r="226" spans="1:19" ht="30">
      <c r="A226" s="8">
        <v>11</v>
      </c>
      <c r="B226" s="328" t="s">
        <v>1084</v>
      </c>
      <c r="C226" s="8" t="s">
        <v>472</v>
      </c>
      <c r="D226" s="19" t="s">
        <v>55</v>
      </c>
      <c r="E226" s="426">
        <f t="shared" si="30"/>
        <v>630</v>
      </c>
      <c r="F226" s="426">
        <v>600</v>
      </c>
      <c r="G226" s="426">
        <v>30</v>
      </c>
      <c r="H226" s="433"/>
      <c r="I226" s="433"/>
      <c r="J226" s="433"/>
      <c r="K226" s="433"/>
      <c r="L226" s="433"/>
      <c r="M226" s="433"/>
      <c r="N226" s="433"/>
      <c r="O226" s="426">
        <f t="shared" si="31"/>
        <v>0</v>
      </c>
      <c r="P226" s="433"/>
      <c r="Q226" s="433"/>
      <c r="R226" s="433"/>
      <c r="S226" s="15"/>
    </row>
    <row r="227" spans="1:19" ht="30">
      <c r="A227" s="8">
        <v>12</v>
      </c>
      <c r="B227" s="328" t="s">
        <v>1085</v>
      </c>
      <c r="C227" s="8" t="s">
        <v>1078</v>
      </c>
      <c r="D227" s="19" t="s">
        <v>55</v>
      </c>
      <c r="E227" s="426">
        <f t="shared" si="30"/>
        <v>1050</v>
      </c>
      <c r="F227" s="426">
        <v>1000</v>
      </c>
      <c r="G227" s="426">
        <v>50</v>
      </c>
      <c r="H227" s="433"/>
      <c r="I227" s="433"/>
      <c r="J227" s="433"/>
      <c r="K227" s="433"/>
      <c r="L227" s="433"/>
      <c r="M227" s="433"/>
      <c r="N227" s="433"/>
      <c r="O227" s="426">
        <f t="shared" si="31"/>
        <v>0</v>
      </c>
      <c r="P227" s="433"/>
      <c r="Q227" s="433"/>
      <c r="R227" s="433"/>
      <c r="S227" s="15"/>
    </row>
    <row r="228" spans="1:19" ht="45">
      <c r="A228" s="8">
        <v>13</v>
      </c>
      <c r="B228" s="328" t="s">
        <v>986</v>
      </c>
      <c r="C228" s="8" t="s">
        <v>1079</v>
      </c>
      <c r="D228" s="19" t="s">
        <v>55</v>
      </c>
      <c r="E228" s="426">
        <f t="shared" si="30"/>
        <v>996.69</v>
      </c>
      <c r="F228" s="426">
        <v>949.23</v>
      </c>
      <c r="G228" s="426">
        <v>47.46</v>
      </c>
      <c r="H228" s="433"/>
      <c r="I228" s="433"/>
      <c r="J228" s="433"/>
      <c r="K228" s="433"/>
      <c r="L228" s="433"/>
      <c r="M228" s="433"/>
      <c r="N228" s="433"/>
      <c r="O228" s="426">
        <f t="shared" si="31"/>
        <v>0</v>
      </c>
      <c r="P228" s="433"/>
      <c r="Q228" s="433"/>
      <c r="R228" s="433"/>
      <c r="S228" s="15"/>
    </row>
    <row r="229" spans="1:19">
      <c r="A229" s="6" t="s">
        <v>1003</v>
      </c>
      <c r="B229" s="326" t="s">
        <v>500</v>
      </c>
      <c r="C229" s="24"/>
      <c r="D229" s="23"/>
      <c r="E229" s="429">
        <f>SUM(E230:E261)</f>
        <v>11087.65</v>
      </c>
      <c r="F229" s="429">
        <f t="shared" ref="F229:R229" si="33">SUM(F230:F261)</f>
        <v>10562.25</v>
      </c>
      <c r="G229" s="429">
        <f t="shared" si="33"/>
        <v>525.4</v>
      </c>
      <c r="H229" s="429">
        <f t="shared" si="33"/>
        <v>0</v>
      </c>
      <c r="I229" s="429"/>
      <c r="J229" s="429"/>
      <c r="K229" s="429"/>
      <c r="L229" s="429"/>
      <c r="M229" s="429"/>
      <c r="N229" s="429"/>
      <c r="O229" s="429">
        <f t="shared" si="33"/>
        <v>1995</v>
      </c>
      <c r="P229" s="429">
        <f t="shared" si="33"/>
        <v>1901</v>
      </c>
      <c r="Q229" s="429">
        <f t="shared" si="33"/>
        <v>94</v>
      </c>
      <c r="R229" s="429">
        <f t="shared" si="33"/>
        <v>0</v>
      </c>
      <c r="S229" s="16"/>
    </row>
    <row r="230" spans="1:19" ht="30">
      <c r="A230" s="8">
        <v>1</v>
      </c>
      <c r="B230" s="328" t="s">
        <v>501</v>
      </c>
      <c r="C230" s="8" t="s">
        <v>948</v>
      </c>
      <c r="D230" s="8" t="s">
        <v>52</v>
      </c>
      <c r="E230" s="439">
        <f>F230+G230</f>
        <v>430.5</v>
      </c>
      <c r="F230" s="439">
        <v>410</v>
      </c>
      <c r="G230" s="439">
        <v>20.5</v>
      </c>
      <c r="H230" s="440">
        <v>0</v>
      </c>
      <c r="I230" s="440"/>
      <c r="J230" s="440"/>
      <c r="K230" s="440"/>
      <c r="L230" s="440"/>
      <c r="M230" s="440"/>
      <c r="N230" s="440"/>
      <c r="O230" s="439">
        <f>P230+Q230</f>
        <v>430.5</v>
      </c>
      <c r="P230" s="439">
        <v>410</v>
      </c>
      <c r="Q230" s="439">
        <v>20.5</v>
      </c>
      <c r="R230" s="433"/>
      <c r="S230" s="15"/>
    </row>
    <row r="231" spans="1:19" ht="30">
      <c r="A231" s="8">
        <v>2</v>
      </c>
      <c r="B231" s="328" t="s">
        <v>503</v>
      </c>
      <c r="C231" s="8" t="s">
        <v>947</v>
      </c>
      <c r="D231" s="8" t="s">
        <v>52</v>
      </c>
      <c r="E231" s="439">
        <f>F231+G231</f>
        <v>430.5</v>
      </c>
      <c r="F231" s="439">
        <v>410</v>
      </c>
      <c r="G231" s="439">
        <v>20.5</v>
      </c>
      <c r="H231" s="440">
        <v>0</v>
      </c>
      <c r="I231" s="440"/>
      <c r="J231" s="440"/>
      <c r="K231" s="440"/>
      <c r="L231" s="440"/>
      <c r="M231" s="440"/>
      <c r="N231" s="440"/>
      <c r="O231" s="439">
        <f>P231+Q231</f>
        <v>430.5</v>
      </c>
      <c r="P231" s="439">
        <v>410</v>
      </c>
      <c r="Q231" s="439">
        <v>20.5</v>
      </c>
      <c r="R231" s="433"/>
      <c r="S231" s="15"/>
    </row>
    <row r="232" spans="1:19" ht="30">
      <c r="A232" s="8">
        <v>3</v>
      </c>
      <c r="B232" s="328" t="s">
        <v>505</v>
      </c>
      <c r="C232" s="8" t="s">
        <v>946</v>
      </c>
      <c r="D232" s="8" t="s">
        <v>52</v>
      </c>
      <c r="E232" s="439">
        <f t="shared" si="30"/>
        <v>430.5</v>
      </c>
      <c r="F232" s="439">
        <v>410</v>
      </c>
      <c r="G232" s="439">
        <v>20.5</v>
      </c>
      <c r="H232" s="440">
        <v>0</v>
      </c>
      <c r="I232" s="440"/>
      <c r="J232" s="440"/>
      <c r="K232" s="440"/>
      <c r="L232" s="440"/>
      <c r="M232" s="440"/>
      <c r="N232" s="440"/>
      <c r="O232" s="439">
        <f>P232+Q232</f>
        <v>430.5</v>
      </c>
      <c r="P232" s="439">
        <v>410</v>
      </c>
      <c r="Q232" s="439">
        <v>20.5</v>
      </c>
      <c r="R232" s="433"/>
      <c r="S232" s="15"/>
    </row>
    <row r="233" spans="1:19" ht="45">
      <c r="A233" s="8">
        <v>4</v>
      </c>
      <c r="B233" s="376" t="s">
        <v>817</v>
      </c>
      <c r="C233" s="8" t="s">
        <v>943</v>
      </c>
      <c r="D233" s="8" t="s">
        <v>52</v>
      </c>
      <c r="E233" s="439">
        <f>F233+G233</f>
        <v>100.7</v>
      </c>
      <c r="F233" s="439">
        <v>96</v>
      </c>
      <c r="G233" s="439">
        <v>4.7</v>
      </c>
      <c r="H233" s="440">
        <v>0</v>
      </c>
      <c r="I233" s="440"/>
      <c r="J233" s="440"/>
      <c r="K233" s="440"/>
      <c r="L233" s="440"/>
      <c r="M233" s="440"/>
      <c r="N233" s="440"/>
      <c r="O233" s="439">
        <f t="shared" si="31"/>
        <v>100.7</v>
      </c>
      <c r="P233" s="439">
        <v>96</v>
      </c>
      <c r="Q233" s="439">
        <v>4.7</v>
      </c>
      <c r="R233" s="433"/>
      <c r="S233" s="15"/>
    </row>
    <row r="234" spans="1:19" ht="30">
      <c r="A234" s="8">
        <v>5</v>
      </c>
      <c r="B234" s="328" t="s">
        <v>508</v>
      </c>
      <c r="C234" s="8" t="s">
        <v>944</v>
      </c>
      <c r="D234" s="8" t="s">
        <v>52</v>
      </c>
      <c r="E234" s="439">
        <f>F234+G234</f>
        <v>503</v>
      </c>
      <c r="F234" s="439">
        <v>480</v>
      </c>
      <c r="G234" s="439">
        <v>23</v>
      </c>
      <c r="H234" s="440">
        <v>0</v>
      </c>
      <c r="I234" s="440"/>
      <c r="J234" s="440"/>
      <c r="K234" s="440"/>
      <c r="L234" s="440"/>
      <c r="M234" s="440"/>
      <c r="N234" s="440"/>
      <c r="O234" s="439">
        <f>P234+Q234</f>
        <v>503</v>
      </c>
      <c r="P234" s="439">
        <v>480</v>
      </c>
      <c r="Q234" s="439">
        <v>23</v>
      </c>
      <c r="R234" s="433"/>
      <c r="S234" s="15"/>
    </row>
    <row r="235" spans="1:19" ht="45">
      <c r="A235" s="8">
        <v>6</v>
      </c>
      <c r="B235" s="376" t="s">
        <v>818</v>
      </c>
      <c r="C235" s="8" t="s">
        <v>945</v>
      </c>
      <c r="D235" s="8" t="s">
        <v>52</v>
      </c>
      <c r="E235" s="439">
        <f>F235+G235</f>
        <v>99.8</v>
      </c>
      <c r="F235" s="439">
        <v>95</v>
      </c>
      <c r="G235" s="439">
        <v>4.8</v>
      </c>
      <c r="H235" s="440">
        <v>0</v>
      </c>
      <c r="I235" s="440"/>
      <c r="J235" s="440"/>
      <c r="K235" s="440"/>
      <c r="L235" s="440"/>
      <c r="M235" s="440"/>
      <c r="N235" s="440"/>
      <c r="O235" s="439">
        <f>P235+Q235</f>
        <v>99.8</v>
      </c>
      <c r="P235" s="439">
        <v>95</v>
      </c>
      <c r="Q235" s="439">
        <v>4.8</v>
      </c>
      <c r="R235" s="433"/>
      <c r="S235" s="15"/>
    </row>
    <row r="236" spans="1:19" ht="30">
      <c r="A236" s="8">
        <v>7</v>
      </c>
      <c r="B236" s="328" t="s">
        <v>512</v>
      </c>
      <c r="C236" s="8" t="s">
        <v>1080</v>
      </c>
      <c r="D236" s="8" t="s">
        <v>53</v>
      </c>
      <c r="E236" s="439">
        <f t="shared" si="30"/>
        <v>483</v>
      </c>
      <c r="F236" s="439">
        <v>460</v>
      </c>
      <c r="G236" s="439">
        <v>23</v>
      </c>
      <c r="H236" s="433">
        <v>0</v>
      </c>
      <c r="I236" s="433"/>
      <c r="J236" s="433"/>
      <c r="K236" s="433"/>
      <c r="L236" s="433"/>
      <c r="M236" s="433"/>
      <c r="N236" s="433"/>
      <c r="O236" s="426">
        <f t="shared" si="31"/>
        <v>0</v>
      </c>
      <c r="P236" s="433"/>
      <c r="Q236" s="433"/>
      <c r="R236" s="433"/>
      <c r="S236" s="15"/>
    </row>
    <row r="237" spans="1:19" ht="30">
      <c r="A237" s="8">
        <v>8</v>
      </c>
      <c r="B237" s="328" t="s">
        <v>1094</v>
      </c>
      <c r="C237" s="8" t="s">
        <v>1081</v>
      </c>
      <c r="D237" s="8" t="s">
        <v>53</v>
      </c>
      <c r="E237" s="439">
        <f>F237+G237</f>
        <v>483</v>
      </c>
      <c r="F237" s="439">
        <v>460</v>
      </c>
      <c r="G237" s="439">
        <v>23</v>
      </c>
      <c r="H237" s="433">
        <v>0</v>
      </c>
      <c r="I237" s="433"/>
      <c r="J237" s="433"/>
      <c r="K237" s="433"/>
      <c r="L237" s="433"/>
      <c r="M237" s="433"/>
      <c r="N237" s="433"/>
      <c r="O237" s="426">
        <f t="shared" si="31"/>
        <v>0</v>
      </c>
      <c r="P237" s="433"/>
      <c r="Q237" s="433"/>
      <c r="R237" s="433"/>
      <c r="S237" s="15"/>
    </row>
    <row r="238" spans="1:19" ht="30">
      <c r="A238" s="8">
        <v>9</v>
      </c>
      <c r="B238" s="328" t="s">
        <v>516</v>
      </c>
      <c r="C238" s="8" t="s">
        <v>945</v>
      </c>
      <c r="D238" s="8" t="s">
        <v>53</v>
      </c>
      <c r="E238" s="439">
        <f t="shared" si="30"/>
        <v>430.5</v>
      </c>
      <c r="F238" s="439">
        <v>410</v>
      </c>
      <c r="G238" s="439">
        <v>20.5</v>
      </c>
      <c r="H238" s="433">
        <v>0</v>
      </c>
      <c r="I238" s="433"/>
      <c r="J238" s="433"/>
      <c r="K238" s="433"/>
      <c r="L238" s="433"/>
      <c r="M238" s="433"/>
      <c r="N238" s="433"/>
      <c r="O238" s="426">
        <f t="shared" si="31"/>
        <v>0</v>
      </c>
      <c r="P238" s="433"/>
      <c r="Q238" s="433"/>
      <c r="R238" s="433"/>
      <c r="S238" s="15"/>
    </row>
    <row r="239" spans="1:19" ht="45">
      <c r="A239" s="8">
        <v>10</v>
      </c>
      <c r="B239" s="328" t="s">
        <v>809</v>
      </c>
      <c r="C239" s="8" t="s">
        <v>943</v>
      </c>
      <c r="D239" s="8" t="s">
        <v>53</v>
      </c>
      <c r="E239" s="439">
        <f t="shared" si="30"/>
        <v>430.5</v>
      </c>
      <c r="F239" s="439">
        <v>410</v>
      </c>
      <c r="G239" s="439">
        <v>20.5</v>
      </c>
      <c r="H239" s="433">
        <v>0</v>
      </c>
      <c r="I239" s="433"/>
      <c r="J239" s="433"/>
      <c r="K239" s="433"/>
      <c r="L239" s="433"/>
      <c r="M239" s="433"/>
      <c r="N239" s="433"/>
      <c r="O239" s="426">
        <f t="shared" si="31"/>
        <v>0</v>
      </c>
      <c r="P239" s="433"/>
      <c r="Q239" s="433"/>
      <c r="R239" s="433"/>
      <c r="S239" s="15"/>
    </row>
    <row r="240" spans="1:19" ht="45">
      <c r="A240" s="8">
        <v>11</v>
      </c>
      <c r="B240" s="376" t="s">
        <v>819</v>
      </c>
      <c r="C240" s="375" t="s">
        <v>943</v>
      </c>
      <c r="D240" s="8" t="s">
        <v>53</v>
      </c>
      <c r="E240" s="439">
        <f t="shared" si="30"/>
        <v>420</v>
      </c>
      <c r="F240" s="439">
        <v>400</v>
      </c>
      <c r="G240" s="439">
        <v>20</v>
      </c>
      <c r="H240" s="433">
        <v>0</v>
      </c>
      <c r="I240" s="433"/>
      <c r="J240" s="433"/>
      <c r="K240" s="433"/>
      <c r="L240" s="433"/>
      <c r="M240" s="433"/>
      <c r="N240" s="433"/>
      <c r="O240" s="426">
        <f t="shared" si="31"/>
        <v>0</v>
      </c>
      <c r="P240" s="433"/>
      <c r="Q240" s="433"/>
      <c r="R240" s="433"/>
      <c r="S240" s="15"/>
    </row>
    <row r="241" spans="1:19" ht="45">
      <c r="A241" s="443">
        <v>12</v>
      </c>
      <c r="B241" s="376" t="s">
        <v>820</v>
      </c>
      <c r="C241" s="8" t="s">
        <v>945</v>
      </c>
      <c r="D241" s="8" t="s">
        <v>53</v>
      </c>
      <c r="E241" s="439">
        <f t="shared" si="30"/>
        <v>420</v>
      </c>
      <c r="F241" s="439">
        <v>400</v>
      </c>
      <c r="G241" s="439">
        <v>20</v>
      </c>
      <c r="H241" s="433">
        <v>0</v>
      </c>
      <c r="I241" s="433"/>
      <c r="J241" s="433"/>
      <c r="K241" s="433"/>
      <c r="L241" s="433"/>
      <c r="M241" s="433"/>
      <c r="N241" s="433"/>
      <c r="O241" s="426">
        <f t="shared" si="31"/>
        <v>0</v>
      </c>
      <c r="P241" s="433"/>
      <c r="Q241" s="433"/>
      <c r="R241" s="433"/>
      <c r="S241" s="15"/>
    </row>
    <row r="242" spans="1:19" ht="30">
      <c r="A242" s="8">
        <v>13</v>
      </c>
      <c r="B242" s="328" t="s">
        <v>517</v>
      </c>
      <c r="C242" s="8" t="s">
        <v>946</v>
      </c>
      <c r="D242" s="8" t="s">
        <v>53</v>
      </c>
      <c r="E242" s="439">
        <f t="shared" si="30"/>
        <v>420</v>
      </c>
      <c r="F242" s="439">
        <v>400</v>
      </c>
      <c r="G242" s="439">
        <v>20</v>
      </c>
      <c r="H242" s="433">
        <v>0</v>
      </c>
      <c r="I242" s="433"/>
      <c r="J242" s="433"/>
      <c r="K242" s="433"/>
      <c r="L242" s="433"/>
      <c r="M242" s="433"/>
      <c r="N242" s="433"/>
      <c r="O242" s="426">
        <f t="shared" si="31"/>
        <v>0</v>
      </c>
      <c r="P242" s="433"/>
      <c r="Q242" s="433"/>
      <c r="R242" s="433"/>
      <c r="S242" s="15"/>
    </row>
    <row r="243" spans="1:19" ht="30">
      <c r="A243" s="8">
        <v>14</v>
      </c>
      <c r="B243" s="328" t="s">
        <v>518</v>
      </c>
      <c r="C243" s="8" t="s">
        <v>948</v>
      </c>
      <c r="D243" s="8" t="s">
        <v>53</v>
      </c>
      <c r="E243" s="439">
        <f t="shared" si="30"/>
        <v>157.5</v>
      </c>
      <c r="F243" s="439">
        <v>150</v>
      </c>
      <c r="G243" s="439">
        <v>7.5</v>
      </c>
      <c r="H243" s="433">
        <v>0</v>
      </c>
      <c r="I243" s="433"/>
      <c r="J243" s="433"/>
      <c r="K243" s="433"/>
      <c r="L243" s="433"/>
      <c r="M243" s="433"/>
      <c r="N243" s="433"/>
      <c r="O243" s="426">
        <f t="shared" si="31"/>
        <v>0</v>
      </c>
      <c r="P243" s="433"/>
      <c r="Q243" s="433"/>
      <c r="R243" s="433"/>
      <c r="S243" s="15"/>
    </row>
    <row r="244" spans="1:19" ht="30">
      <c r="A244" s="8">
        <v>15</v>
      </c>
      <c r="B244" s="328" t="s">
        <v>520</v>
      </c>
      <c r="C244" s="8" t="s">
        <v>948</v>
      </c>
      <c r="D244" s="8" t="s">
        <v>53</v>
      </c>
      <c r="E244" s="426">
        <f t="shared" si="30"/>
        <v>210</v>
      </c>
      <c r="F244" s="426">
        <v>200</v>
      </c>
      <c r="G244" s="426">
        <v>10</v>
      </c>
      <c r="H244" s="433">
        <v>0</v>
      </c>
      <c r="I244" s="433"/>
      <c r="J244" s="433"/>
      <c r="K244" s="433"/>
      <c r="L244" s="433"/>
      <c r="M244" s="433"/>
      <c r="N244" s="433"/>
      <c r="O244" s="426">
        <f t="shared" si="31"/>
        <v>0</v>
      </c>
      <c r="P244" s="433"/>
      <c r="Q244" s="433"/>
      <c r="R244" s="433"/>
      <c r="S244" s="15"/>
    </row>
    <row r="245" spans="1:19" ht="30">
      <c r="A245" s="8">
        <v>16</v>
      </c>
      <c r="B245" s="328" t="s">
        <v>522</v>
      </c>
      <c r="C245" s="8" t="s">
        <v>1081</v>
      </c>
      <c r="D245" s="8" t="s">
        <v>53</v>
      </c>
      <c r="E245" s="439">
        <f t="shared" si="30"/>
        <v>52.5</v>
      </c>
      <c r="F245" s="439">
        <v>50</v>
      </c>
      <c r="G245" s="439">
        <v>2.5</v>
      </c>
      <c r="H245" s="433">
        <v>0</v>
      </c>
      <c r="I245" s="433"/>
      <c r="J245" s="433"/>
      <c r="K245" s="433"/>
      <c r="L245" s="433"/>
      <c r="M245" s="433"/>
      <c r="N245" s="433"/>
      <c r="O245" s="426">
        <f t="shared" si="31"/>
        <v>0</v>
      </c>
      <c r="P245" s="433"/>
      <c r="Q245" s="433"/>
      <c r="R245" s="433"/>
      <c r="S245" s="15"/>
    </row>
    <row r="246" spans="1:19" ht="30">
      <c r="A246" s="8">
        <v>17</v>
      </c>
      <c r="B246" s="328" t="s">
        <v>524</v>
      </c>
      <c r="C246" s="8" t="s">
        <v>1080</v>
      </c>
      <c r="D246" s="8" t="s">
        <v>53</v>
      </c>
      <c r="E246" s="426">
        <f t="shared" si="30"/>
        <v>210</v>
      </c>
      <c r="F246" s="426">
        <v>200</v>
      </c>
      <c r="G246" s="426">
        <v>10</v>
      </c>
      <c r="H246" s="433">
        <v>0</v>
      </c>
      <c r="I246" s="433"/>
      <c r="J246" s="433"/>
      <c r="K246" s="433"/>
      <c r="L246" s="433"/>
      <c r="M246" s="433"/>
      <c r="N246" s="433"/>
      <c r="O246" s="426">
        <f t="shared" si="31"/>
        <v>0</v>
      </c>
      <c r="P246" s="433"/>
      <c r="Q246" s="433"/>
      <c r="R246" s="433"/>
      <c r="S246" s="15"/>
    </row>
    <row r="247" spans="1:19" ht="45">
      <c r="A247" s="8">
        <v>18</v>
      </c>
      <c r="B247" s="376" t="s">
        <v>821</v>
      </c>
      <c r="C247" s="375" t="s">
        <v>943</v>
      </c>
      <c r="D247" s="8" t="s">
        <v>54</v>
      </c>
      <c r="E247" s="439">
        <f>F247+G247</f>
        <v>452.5</v>
      </c>
      <c r="F247" s="439">
        <v>431</v>
      </c>
      <c r="G247" s="439">
        <v>21.5</v>
      </c>
      <c r="H247" s="433">
        <v>0</v>
      </c>
      <c r="I247" s="433"/>
      <c r="J247" s="433"/>
      <c r="K247" s="433"/>
      <c r="L247" s="433"/>
      <c r="M247" s="433"/>
      <c r="N247" s="433"/>
      <c r="O247" s="426">
        <f t="shared" si="31"/>
        <v>0</v>
      </c>
      <c r="P247" s="433"/>
      <c r="Q247" s="433"/>
      <c r="R247" s="433"/>
      <c r="S247" s="15"/>
    </row>
    <row r="248" spans="1:19" ht="45">
      <c r="A248" s="443">
        <v>19</v>
      </c>
      <c r="B248" s="376" t="s">
        <v>822</v>
      </c>
      <c r="C248" s="8" t="s">
        <v>945</v>
      </c>
      <c r="D248" s="8" t="s">
        <v>54</v>
      </c>
      <c r="E248" s="439">
        <f t="shared" si="30"/>
        <v>420</v>
      </c>
      <c r="F248" s="439">
        <v>400</v>
      </c>
      <c r="G248" s="439">
        <v>20</v>
      </c>
      <c r="H248" s="433">
        <v>0</v>
      </c>
      <c r="I248" s="433"/>
      <c r="J248" s="433"/>
      <c r="K248" s="433"/>
      <c r="L248" s="433"/>
      <c r="M248" s="433"/>
      <c r="N248" s="433"/>
      <c r="O248" s="426">
        <f t="shared" si="31"/>
        <v>0</v>
      </c>
      <c r="P248" s="433"/>
      <c r="Q248" s="433"/>
      <c r="R248" s="433"/>
      <c r="S248" s="15"/>
    </row>
    <row r="249" spans="1:19" ht="30">
      <c r="A249" s="8">
        <v>20</v>
      </c>
      <c r="B249" s="328" t="s">
        <v>526</v>
      </c>
      <c r="C249" s="8" t="s">
        <v>1081</v>
      </c>
      <c r="D249" s="8" t="s">
        <v>54</v>
      </c>
      <c r="E249" s="439">
        <f t="shared" si="30"/>
        <v>420</v>
      </c>
      <c r="F249" s="439">
        <v>400</v>
      </c>
      <c r="G249" s="439">
        <v>20</v>
      </c>
      <c r="H249" s="433">
        <v>0</v>
      </c>
      <c r="I249" s="433"/>
      <c r="J249" s="433"/>
      <c r="K249" s="433"/>
      <c r="L249" s="433"/>
      <c r="M249" s="433"/>
      <c r="N249" s="433"/>
      <c r="O249" s="426">
        <f t="shared" si="31"/>
        <v>0</v>
      </c>
      <c r="P249" s="433"/>
      <c r="Q249" s="433"/>
      <c r="R249" s="433"/>
      <c r="S249" s="15"/>
    </row>
    <row r="250" spans="1:19" ht="30">
      <c r="A250" s="8">
        <v>21</v>
      </c>
      <c r="B250" s="328" t="s">
        <v>528</v>
      </c>
      <c r="C250" s="8" t="s">
        <v>1082</v>
      </c>
      <c r="D250" s="8" t="s">
        <v>54</v>
      </c>
      <c r="E250" s="426">
        <f t="shared" si="30"/>
        <v>313.39999999999998</v>
      </c>
      <c r="F250" s="426">
        <v>300</v>
      </c>
      <c r="G250" s="426">
        <v>13.4</v>
      </c>
      <c r="H250" s="433">
        <v>0</v>
      </c>
      <c r="I250" s="433"/>
      <c r="J250" s="433"/>
      <c r="K250" s="433"/>
      <c r="L250" s="433"/>
      <c r="M250" s="433"/>
      <c r="N250" s="433"/>
      <c r="O250" s="426">
        <f t="shared" si="31"/>
        <v>0</v>
      </c>
      <c r="P250" s="433"/>
      <c r="Q250" s="433"/>
      <c r="R250" s="433"/>
      <c r="S250" s="15"/>
    </row>
    <row r="251" spans="1:19" ht="30">
      <c r="A251" s="8">
        <v>22</v>
      </c>
      <c r="B251" s="328" t="s">
        <v>531</v>
      </c>
      <c r="C251" s="8" t="s">
        <v>944</v>
      </c>
      <c r="D251" s="8" t="s">
        <v>54</v>
      </c>
      <c r="E251" s="439">
        <f t="shared" si="30"/>
        <v>262.5</v>
      </c>
      <c r="F251" s="439">
        <v>250</v>
      </c>
      <c r="G251" s="439">
        <v>12.5</v>
      </c>
      <c r="H251" s="433">
        <v>0</v>
      </c>
      <c r="I251" s="433"/>
      <c r="J251" s="433"/>
      <c r="K251" s="433"/>
      <c r="L251" s="433"/>
      <c r="M251" s="433"/>
      <c r="N251" s="433"/>
      <c r="O251" s="426">
        <f t="shared" si="31"/>
        <v>0</v>
      </c>
      <c r="P251" s="433"/>
      <c r="Q251" s="433"/>
      <c r="R251" s="433"/>
      <c r="S251" s="15"/>
    </row>
    <row r="252" spans="1:19" ht="45">
      <c r="A252" s="8">
        <v>23</v>
      </c>
      <c r="B252" s="376" t="s">
        <v>810</v>
      </c>
      <c r="C252" s="375" t="s">
        <v>943</v>
      </c>
      <c r="D252" s="8" t="s">
        <v>54</v>
      </c>
      <c r="E252" s="426">
        <f t="shared" si="30"/>
        <v>315</v>
      </c>
      <c r="F252" s="426">
        <v>300</v>
      </c>
      <c r="G252" s="426">
        <v>15</v>
      </c>
      <c r="H252" s="433">
        <v>0</v>
      </c>
      <c r="I252" s="433"/>
      <c r="J252" s="433"/>
      <c r="K252" s="433"/>
      <c r="L252" s="433"/>
      <c r="M252" s="433"/>
      <c r="N252" s="433"/>
      <c r="O252" s="426">
        <f t="shared" si="31"/>
        <v>0</v>
      </c>
      <c r="P252" s="433"/>
      <c r="Q252" s="433"/>
      <c r="R252" s="433"/>
      <c r="S252" s="15"/>
    </row>
    <row r="253" spans="1:19" ht="30">
      <c r="A253" s="8">
        <v>24</v>
      </c>
      <c r="B253" s="328" t="s">
        <v>534</v>
      </c>
      <c r="C253" s="8" t="s">
        <v>944</v>
      </c>
      <c r="D253" s="8" t="s">
        <v>54</v>
      </c>
      <c r="E253" s="439">
        <f t="shared" si="30"/>
        <v>420</v>
      </c>
      <c r="F253" s="439">
        <v>400</v>
      </c>
      <c r="G253" s="439">
        <v>20</v>
      </c>
      <c r="H253" s="433">
        <v>0</v>
      </c>
      <c r="I253" s="433"/>
      <c r="J253" s="433"/>
      <c r="K253" s="433"/>
      <c r="L253" s="433"/>
      <c r="M253" s="433"/>
      <c r="N253" s="433"/>
      <c r="O253" s="426">
        <f t="shared" si="31"/>
        <v>0</v>
      </c>
      <c r="P253" s="433"/>
      <c r="Q253" s="433"/>
      <c r="R253" s="433"/>
      <c r="S253" s="15"/>
    </row>
    <row r="254" spans="1:19" ht="30">
      <c r="A254" s="8">
        <v>25</v>
      </c>
      <c r="B254" s="328" t="s">
        <v>536</v>
      </c>
      <c r="C254" s="8" t="s">
        <v>1081</v>
      </c>
      <c r="D254" s="8" t="s">
        <v>54</v>
      </c>
      <c r="E254" s="426">
        <f t="shared" si="30"/>
        <v>210</v>
      </c>
      <c r="F254" s="426">
        <v>200</v>
      </c>
      <c r="G254" s="426">
        <v>10</v>
      </c>
      <c r="H254" s="433">
        <v>0</v>
      </c>
      <c r="I254" s="433"/>
      <c r="J254" s="433"/>
      <c r="K254" s="433"/>
      <c r="L254" s="433"/>
      <c r="M254" s="433"/>
      <c r="N254" s="433"/>
      <c r="O254" s="426">
        <f t="shared" si="31"/>
        <v>0</v>
      </c>
      <c r="P254" s="433"/>
      <c r="Q254" s="433"/>
      <c r="R254" s="433"/>
      <c r="S254" s="15"/>
    </row>
    <row r="255" spans="1:19" ht="30">
      <c r="A255" s="8">
        <v>26</v>
      </c>
      <c r="B255" s="328" t="s">
        <v>538</v>
      </c>
      <c r="C255" s="8" t="s">
        <v>946</v>
      </c>
      <c r="D255" s="8" t="s">
        <v>54</v>
      </c>
      <c r="E255" s="426">
        <f t="shared" si="30"/>
        <v>210</v>
      </c>
      <c r="F255" s="426">
        <v>200</v>
      </c>
      <c r="G255" s="426">
        <v>10</v>
      </c>
      <c r="H255" s="433">
        <v>0</v>
      </c>
      <c r="I255" s="433"/>
      <c r="J255" s="433"/>
      <c r="K255" s="433"/>
      <c r="L255" s="433"/>
      <c r="M255" s="433"/>
      <c r="N255" s="433"/>
      <c r="O255" s="426">
        <f t="shared" si="31"/>
        <v>0</v>
      </c>
      <c r="P255" s="433"/>
      <c r="Q255" s="433"/>
      <c r="R255" s="433"/>
      <c r="S255" s="15"/>
    </row>
    <row r="256" spans="1:19" ht="45">
      <c r="A256" s="8">
        <v>27</v>
      </c>
      <c r="B256" s="376" t="s">
        <v>823</v>
      </c>
      <c r="C256" s="8" t="s">
        <v>943</v>
      </c>
      <c r="D256" s="8" t="s">
        <v>55</v>
      </c>
      <c r="E256" s="426">
        <f t="shared" si="30"/>
        <v>525</v>
      </c>
      <c r="F256" s="426">
        <v>500</v>
      </c>
      <c r="G256" s="426">
        <v>25</v>
      </c>
      <c r="H256" s="433">
        <v>0</v>
      </c>
      <c r="I256" s="433"/>
      <c r="J256" s="433"/>
      <c r="K256" s="433"/>
      <c r="L256" s="433"/>
      <c r="M256" s="433"/>
      <c r="N256" s="433"/>
      <c r="O256" s="426">
        <f t="shared" si="31"/>
        <v>0</v>
      </c>
      <c r="P256" s="433"/>
      <c r="Q256" s="433"/>
      <c r="R256" s="433"/>
      <c r="S256" s="15"/>
    </row>
    <row r="257" spans="1:19" ht="45">
      <c r="A257" s="8">
        <v>28</v>
      </c>
      <c r="B257" s="376" t="s">
        <v>824</v>
      </c>
      <c r="C257" s="8" t="s">
        <v>945</v>
      </c>
      <c r="D257" s="8">
        <v>2025</v>
      </c>
      <c r="E257" s="426">
        <f t="shared" si="30"/>
        <v>525</v>
      </c>
      <c r="F257" s="426">
        <v>500</v>
      </c>
      <c r="G257" s="426">
        <v>25</v>
      </c>
      <c r="H257" s="433">
        <v>0</v>
      </c>
      <c r="I257" s="433"/>
      <c r="J257" s="433"/>
      <c r="K257" s="433"/>
      <c r="L257" s="433"/>
      <c r="M257" s="433"/>
      <c r="N257" s="433"/>
      <c r="O257" s="426">
        <f t="shared" si="31"/>
        <v>0</v>
      </c>
      <c r="P257" s="433"/>
      <c r="Q257" s="433"/>
      <c r="R257" s="433"/>
      <c r="S257" s="15"/>
    </row>
    <row r="258" spans="1:19" ht="30">
      <c r="A258" s="8">
        <v>29</v>
      </c>
      <c r="B258" s="328" t="s">
        <v>540</v>
      </c>
      <c r="C258" s="8" t="s">
        <v>1082</v>
      </c>
      <c r="D258" s="8" t="s">
        <v>55</v>
      </c>
      <c r="E258" s="439">
        <f t="shared" si="30"/>
        <v>430.5</v>
      </c>
      <c r="F258" s="439">
        <v>410</v>
      </c>
      <c r="G258" s="439">
        <v>20.5</v>
      </c>
      <c r="H258" s="433">
        <v>0</v>
      </c>
      <c r="I258" s="433"/>
      <c r="J258" s="433"/>
      <c r="K258" s="433"/>
      <c r="L258" s="433"/>
      <c r="M258" s="433"/>
      <c r="N258" s="433"/>
      <c r="O258" s="426">
        <f t="shared" si="31"/>
        <v>0</v>
      </c>
      <c r="P258" s="433"/>
      <c r="Q258" s="433"/>
      <c r="R258" s="433"/>
      <c r="S258" s="15"/>
    </row>
    <row r="259" spans="1:19" ht="30">
      <c r="A259" s="8">
        <v>30</v>
      </c>
      <c r="B259" s="328" t="s">
        <v>541</v>
      </c>
      <c r="C259" s="8" t="s">
        <v>944</v>
      </c>
      <c r="D259" s="8" t="s">
        <v>55</v>
      </c>
      <c r="E259" s="439">
        <f t="shared" si="30"/>
        <v>430.5</v>
      </c>
      <c r="F259" s="439">
        <v>410</v>
      </c>
      <c r="G259" s="439">
        <v>20.5</v>
      </c>
      <c r="H259" s="433">
        <v>0</v>
      </c>
      <c r="I259" s="433"/>
      <c r="J259" s="433"/>
      <c r="K259" s="433"/>
      <c r="L259" s="433"/>
      <c r="M259" s="433"/>
      <c r="N259" s="433"/>
      <c r="O259" s="426">
        <f t="shared" si="31"/>
        <v>0</v>
      </c>
      <c r="P259" s="433"/>
      <c r="Q259" s="433"/>
      <c r="R259" s="433"/>
      <c r="S259" s="15"/>
    </row>
    <row r="260" spans="1:19" ht="30">
      <c r="A260" s="8">
        <v>31</v>
      </c>
      <c r="B260" s="328" t="s">
        <v>542</v>
      </c>
      <c r="C260" s="8" t="s">
        <v>948</v>
      </c>
      <c r="D260" s="8" t="s">
        <v>55</v>
      </c>
      <c r="E260" s="439">
        <f t="shared" si="30"/>
        <v>336</v>
      </c>
      <c r="F260" s="439">
        <v>320</v>
      </c>
      <c r="G260" s="439">
        <v>16</v>
      </c>
      <c r="H260" s="433">
        <v>0</v>
      </c>
      <c r="I260" s="433"/>
      <c r="J260" s="433"/>
      <c r="K260" s="433"/>
      <c r="L260" s="433"/>
      <c r="M260" s="433"/>
      <c r="N260" s="433"/>
      <c r="O260" s="426">
        <f t="shared" si="31"/>
        <v>0</v>
      </c>
      <c r="P260" s="433"/>
      <c r="Q260" s="433"/>
      <c r="R260" s="433"/>
      <c r="S260" s="15"/>
    </row>
    <row r="261" spans="1:19" ht="30">
      <c r="A261" s="8">
        <v>32</v>
      </c>
      <c r="B261" s="328" t="s">
        <v>543</v>
      </c>
      <c r="C261" s="8" t="s">
        <v>948</v>
      </c>
      <c r="D261" s="8" t="s">
        <v>55</v>
      </c>
      <c r="E261" s="439">
        <f t="shared" si="30"/>
        <v>105.25</v>
      </c>
      <c r="F261" s="439">
        <v>100.25</v>
      </c>
      <c r="G261" s="439">
        <v>5</v>
      </c>
      <c r="H261" s="433">
        <v>0</v>
      </c>
      <c r="I261" s="433"/>
      <c r="J261" s="433"/>
      <c r="K261" s="433"/>
      <c r="L261" s="433"/>
      <c r="M261" s="433"/>
      <c r="N261" s="433"/>
      <c r="O261" s="426">
        <f t="shared" si="31"/>
        <v>0</v>
      </c>
      <c r="P261" s="433"/>
      <c r="Q261" s="433"/>
      <c r="R261" s="433"/>
      <c r="S261" s="15"/>
    </row>
    <row r="262" spans="1:19" ht="115.5" customHeight="1">
      <c r="A262" s="266" t="s">
        <v>39</v>
      </c>
      <c r="B262" s="236" t="s">
        <v>1006</v>
      </c>
      <c r="C262" s="257"/>
      <c r="D262" s="275"/>
      <c r="E262" s="428">
        <f>+E264</f>
        <v>5551</v>
      </c>
      <c r="F262" s="428">
        <f t="shared" ref="F262:R262" si="34">+F264</f>
        <v>5287</v>
      </c>
      <c r="G262" s="428">
        <f t="shared" si="34"/>
        <v>264</v>
      </c>
      <c r="H262" s="428">
        <f t="shared" si="34"/>
        <v>0</v>
      </c>
      <c r="I262" s="428"/>
      <c r="J262" s="428"/>
      <c r="K262" s="428"/>
      <c r="L262" s="428"/>
      <c r="M262" s="428"/>
      <c r="N262" s="428"/>
      <c r="O262" s="428">
        <f t="shared" si="34"/>
        <v>1000</v>
      </c>
      <c r="P262" s="428">
        <f t="shared" si="34"/>
        <v>952</v>
      </c>
      <c r="Q262" s="428">
        <f t="shared" si="34"/>
        <v>48</v>
      </c>
      <c r="R262" s="428">
        <f t="shared" si="34"/>
        <v>0</v>
      </c>
      <c r="S262" s="257"/>
    </row>
    <row r="263" spans="1:19" ht="90" customHeight="1">
      <c r="A263" s="249" t="s">
        <v>1004</v>
      </c>
      <c r="B263" s="436" t="s">
        <v>1005</v>
      </c>
      <c r="C263" s="273"/>
      <c r="D263" s="415"/>
      <c r="E263" s="434">
        <f>+E264</f>
        <v>5551</v>
      </c>
      <c r="F263" s="434">
        <f t="shared" ref="F263:R263" si="35">+F264</f>
        <v>5287</v>
      </c>
      <c r="G263" s="434">
        <f t="shared" si="35"/>
        <v>264</v>
      </c>
      <c r="H263" s="434">
        <f t="shared" si="35"/>
        <v>0</v>
      </c>
      <c r="I263" s="434"/>
      <c r="J263" s="434"/>
      <c r="K263" s="434"/>
      <c r="L263" s="434"/>
      <c r="M263" s="434"/>
      <c r="N263" s="434"/>
      <c r="O263" s="434">
        <f t="shared" si="35"/>
        <v>1000</v>
      </c>
      <c r="P263" s="434">
        <f t="shared" si="35"/>
        <v>952</v>
      </c>
      <c r="Q263" s="434">
        <f t="shared" si="35"/>
        <v>48</v>
      </c>
      <c r="R263" s="434">
        <f t="shared" si="35"/>
        <v>0</v>
      </c>
      <c r="S263" s="257"/>
    </row>
    <row r="264" spans="1:19" ht="90">
      <c r="A264" s="253" t="s">
        <v>891</v>
      </c>
      <c r="B264" s="241" t="s">
        <v>900</v>
      </c>
      <c r="C264" s="253" t="s">
        <v>23</v>
      </c>
      <c r="D264" s="9" t="s">
        <v>19</v>
      </c>
      <c r="E264" s="435">
        <f t="shared" ref="E264" si="36">F264+G264</f>
        <v>5551</v>
      </c>
      <c r="F264" s="435">
        <v>5287</v>
      </c>
      <c r="G264" s="435">
        <v>264</v>
      </c>
      <c r="H264" s="435"/>
      <c r="I264" s="435"/>
      <c r="J264" s="435"/>
      <c r="K264" s="435"/>
      <c r="L264" s="435"/>
      <c r="M264" s="435"/>
      <c r="N264" s="435"/>
      <c r="O264" s="435">
        <f t="shared" ref="O264" si="37">P264+Q264</f>
        <v>1000</v>
      </c>
      <c r="P264" s="435">
        <v>952</v>
      </c>
      <c r="Q264" s="435">
        <v>48</v>
      </c>
      <c r="R264" s="435"/>
      <c r="S264" s="257"/>
    </row>
  </sheetData>
  <mergeCells count="15">
    <mergeCell ref="O5:R5"/>
    <mergeCell ref="S5:S7"/>
    <mergeCell ref="B11:C11"/>
    <mergeCell ref="R1:S1"/>
    <mergeCell ref="A2:S2"/>
    <mergeCell ref="A3:S3"/>
    <mergeCell ref="G4:S4"/>
    <mergeCell ref="A5:A7"/>
    <mergeCell ref="B5:B7"/>
    <mergeCell ref="C5:C7"/>
    <mergeCell ref="D5:D7"/>
    <mergeCell ref="E5:H5"/>
    <mergeCell ref="I5:N5"/>
    <mergeCell ref="I6:K6"/>
    <mergeCell ref="L6:N6"/>
  </mergeCells>
  <pageMargins left="0.39370078740157483" right="0.23622047244094491" top="0.47244094488188981" bottom="0.74803149606299213" header="0.31496062992125984" footer="0.31496062992125984"/>
  <pageSetup paperSize="9" orientation="landscape" verticalDpi="0" r:id="rId1"/>
  <headerFooter>
    <oddFooter>Page &amp;P</oddFooter>
  </headerFooter>
  <legacyDrawing r:id="rId2"/>
</worksheet>
</file>

<file path=xl/worksheets/sheet11.xml><?xml version="1.0" encoding="utf-8"?>
<worksheet xmlns="http://schemas.openxmlformats.org/spreadsheetml/2006/main" xmlns:r="http://schemas.openxmlformats.org/officeDocument/2006/relationships">
  <sheetPr>
    <tabColor rgb="FFFF0000"/>
  </sheetPr>
  <dimension ref="A1:X86"/>
  <sheetViews>
    <sheetView topLeftCell="A7" zoomScale="85" zoomScaleNormal="85" workbookViewId="0">
      <selection activeCell="T20" sqref="T20"/>
    </sheetView>
  </sheetViews>
  <sheetFormatPr defaultRowHeight="15"/>
  <cols>
    <col min="1" max="1" width="5.5703125" customWidth="1"/>
    <col min="2" max="2" width="18.5703125" customWidth="1"/>
    <col min="3" max="3" width="13.42578125" customWidth="1"/>
    <col min="4" max="4" width="32.140625" hidden="1" customWidth="1"/>
    <col min="5" max="5" width="7.42578125" customWidth="1"/>
    <col min="6" max="6" width="12.140625" customWidth="1"/>
    <col min="7" max="9" width="9.85546875" customWidth="1"/>
    <col min="10" max="10" width="9.42578125" customWidth="1"/>
    <col min="11" max="13" width="9.85546875" customWidth="1"/>
    <col min="14" max="14" width="8.85546875" customWidth="1"/>
    <col min="15" max="15" width="13.5703125" style="374" customWidth="1"/>
    <col min="16" max="16" width="8.42578125" customWidth="1"/>
    <col min="18" max="18" width="9.7109375" bestFit="1" customWidth="1"/>
    <col min="19" max="19" width="10.7109375" customWidth="1"/>
    <col min="20" max="20" width="10.28515625" customWidth="1"/>
    <col min="22" max="22" width="32.42578125" customWidth="1"/>
    <col min="23" max="24" width="13.85546875" customWidth="1"/>
  </cols>
  <sheetData>
    <row r="1" spans="1:20" ht="35.25" customHeight="1">
      <c r="A1" s="654" t="s">
        <v>939</v>
      </c>
      <c r="B1" s="654"/>
      <c r="C1" s="654"/>
      <c r="D1" s="654"/>
      <c r="E1" s="654"/>
      <c r="F1" s="654"/>
      <c r="G1" s="654"/>
      <c r="H1" s="654"/>
      <c r="I1" s="654"/>
      <c r="J1" s="654"/>
      <c r="K1" s="654"/>
      <c r="L1" s="654"/>
      <c r="M1" s="654"/>
      <c r="N1" s="654"/>
      <c r="O1" s="654"/>
      <c r="P1" s="654"/>
    </row>
    <row r="2" spans="1:20">
      <c r="A2" s="642" t="s">
        <v>938</v>
      </c>
      <c r="B2" s="642"/>
      <c r="C2" s="642"/>
      <c r="D2" s="642"/>
      <c r="E2" s="642"/>
      <c r="F2" s="642"/>
      <c r="G2" s="642"/>
      <c r="H2" s="642"/>
      <c r="I2" s="642"/>
      <c r="J2" s="642"/>
      <c r="K2" s="642"/>
      <c r="L2" s="642"/>
      <c r="M2" s="642"/>
      <c r="N2" s="642"/>
      <c r="O2" s="642"/>
      <c r="P2" s="642"/>
    </row>
    <row r="3" spans="1:20">
      <c r="A3" s="2"/>
      <c r="B3" s="234"/>
      <c r="C3" s="2"/>
      <c r="D3" s="2"/>
      <c r="E3" s="2"/>
      <c r="F3" s="2"/>
      <c r="G3" s="235"/>
      <c r="H3" s="282"/>
      <c r="I3" s="643" t="s">
        <v>0</v>
      </c>
      <c r="J3" s="643"/>
      <c r="K3" s="643"/>
      <c r="L3" s="643"/>
      <c r="M3" s="643"/>
      <c r="N3" s="643"/>
      <c r="O3" s="643"/>
      <c r="P3" s="643"/>
    </row>
    <row r="4" spans="1:20" ht="27.75" customHeight="1">
      <c r="A4" s="644" t="s">
        <v>1</v>
      </c>
      <c r="B4" s="645" t="s">
        <v>2</v>
      </c>
      <c r="C4" s="644" t="s">
        <v>3</v>
      </c>
      <c r="D4" s="644" t="s">
        <v>4</v>
      </c>
      <c r="E4" s="644" t="s">
        <v>5</v>
      </c>
      <c r="F4" s="655" t="s">
        <v>6</v>
      </c>
      <c r="G4" s="656"/>
      <c r="H4" s="656"/>
      <c r="I4" s="656"/>
      <c r="J4" s="657"/>
      <c r="K4" s="655" t="s">
        <v>976</v>
      </c>
      <c r="L4" s="656"/>
      <c r="M4" s="656"/>
      <c r="N4" s="657"/>
      <c r="O4" s="647" t="s">
        <v>918</v>
      </c>
      <c r="P4" s="644" t="s">
        <v>8</v>
      </c>
    </row>
    <row r="5" spans="1:20" ht="42.75">
      <c r="A5" s="644"/>
      <c r="B5" s="645"/>
      <c r="C5" s="644"/>
      <c r="D5" s="644"/>
      <c r="E5" s="644"/>
      <c r="F5" s="402" t="s">
        <v>975</v>
      </c>
      <c r="G5" s="3" t="s">
        <v>9</v>
      </c>
      <c r="H5" s="283" t="s">
        <v>10</v>
      </c>
      <c r="I5" s="3" t="s">
        <v>11</v>
      </c>
      <c r="J5" s="3" t="s">
        <v>12</v>
      </c>
      <c r="K5" s="3" t="s">
        <v>9</v>
      </c>
      <c r="L5" s="3" t="s">
        <v>10</v>
      </c>
      <c r="M5" s="3" t="s">
        <v>11</v>
      </c>
      <c r="N5" s="3" t="s">
        <v>12</v>
      </c>
      <c r="O5" s="632"/>
      <c r="P5" s="644"/>
      <c r="R5" s="391" t="e">
        <f>+#REF!-#REF!</f>
        <v>#REF!</v>
      </c>
      <c r="S5" s="391" t="e">
        <f>+#REF!-#REF!</f>
        <v>#REF!</v>
      </c>
      <c r="T5" s="391" t="e">
        <f>+#REF!-#REF!</f>
        <v>#REF!</v>
      </c>
    </row>
    <row r="6" spans="1:20">
      <c r="A6" s="4"/>
      <c r="B6" s="298" t="s">
        <v>13</v>
      </c>
      <c r="C6" s="4"/>
      <c r="D6" s="4"/>
      <c r="E6" s="4"/>
      <c r="F6" s="4"/>
      <c r="G6" s="5">
        <f t="shared" ref="G6:N6" si="0">G7+G13+G15+G17+G1011+G1014+G1020+G1022</f>
        <v>241228</v>
      </c>
      <c r="H6" s="281">
        <f t="shared" si="0"/>
        <v>231351</v>
      </c>
      <c r="I6" s="5">
        <f t="shared" si="0"/>
        <v>9877</v>
      </c>
      <c r="J6" s="5">
        <f t="shared" si="0"/>
        <v>0</v>
      </c>
      <c r="K6" s="5">
        <f t="shared" si="0"/>
        <v>49667</v>
      </c>
      <c r="L6" s="5">
        <f t="shared" si="0"/>
        <v>47503</v>
      </c>
      <c r="M6" s="5">
        <f t="shared" si="0"/>
        <v>2164</v>
      </c>
      <c r="N6" s="5">
        <f t="shared" si="0"/>
        <v>0</v>
      </c>
      <c r="O6" s="5"/>
      <c r="P6" s="4"/>
    </row>
    <row r="7" spans="1:20" ht="99.75">
      <c r="A7" s="298" t="s">
        <v>14</v>
      </c>
      <c r="B7" s="236" t="s">
        <v>15</v>
      </c>
      <c r="C7" s="236"/>
      <c r="D7" s="236"/>
      <c r="E7" s="236"/>
      <c r="F7" s="236"/>
      <c r="G7" s="237">
        <f>G8+G10</f>
        <v>135888</v>
      </c>
      <c r="H7" s="284">
        <f>H8+H10</f>
        <v>130885</v>
      </c>
      <c r="I7" s="237">
        <f>I8+I10</f>
        <v>5003</v>
      </c>
      <c r="J7" s="237"/>
      <c r="K7" s="237">
        <f>K8+K10</f>
        <v>34687</v>
      </c>
      <c r="L7" s="237">
        <f>L8+L10</f>
        <v>33141</v>
      </c>
      <c r="M7" s="237">
        <f>M8+M10</f>
        <v>1546</v>
      </c>
      <c r="N7" s="237">
        <f>N8+N10</f>
        <v>0</v>
      </c>
      <c r="O7" s="237"/>
      <c r="P7" s="236"/>
    </row>
    <row r="8" spans="1:20" ht="35.25" customHeight="1">
      <c r="A8" s="6" t="s">
        <v>16</v>
      </c>
      <c r="B8" s="658" t="s">
        <v>17</v>
      </c>
      <c r="C8" s="658"/>
      <c r="D8" s="239"/>
      <c r="E8" s="239"/>
      <c r="F8" s="239"/>
      <c r="G8" s="240">
        <f t="shared" ref="G8:G14" si="1">H8+I8</f>
        <v>9796</v>
      </c>
      <c r="H8" s="285">
        <f>SUM(H9:H9)</f>
        <v>9020</v>
      </c>
      <c r="I8" s="240">
        <f>SUM(I9:I9)</f>
        <v>776</v>
      </c>
      <c r="J8" s="240">
        <f>K8+L8</f>
        <v>1020</v>
      </c>
      <c r="K8" s="240">
        <f>SUM(K9:K9)</f>
        <v>530</v>
      </c>
      <c r="L8" s="240">
        <f>SUM(L9:L9)</f>
        <v>490</v>
      </c>
      <c r="M8" s="240">
        <f>SUM(M9:M9)</f>
        <v>40</v>
      </c>
      <c r="N8" s="240">
        <f>SUM(N9:N9)</f>
        <v>0</v>
      </c>
      <c r="O8" s="240"/>
      <c r="P8" s="239"/>
    </row>
    <row r="9" spans="1:20" ht="30">
      <c r="A9" s="8" t="s">
        <v>891</v>
      </c>
      <c r="B9" s="241" t="s">
        <v>23</v>
      </c>
      <c r="C9" s="241"/>
      <c r="D9" s="241"/>
      <c r="E9" s="9" t="s">
        <v>19</v>
      </c>
      <c r="F9" s="9"/>
      <c r="G9" s="242">
        <f t="shared" si="1"/>
        <v>9796</v>
      </c>
      <c r="H9" s="286">
        <v>9020</v>
      </c>
      <c r="I9" s="243">
        <v>776</v>
      </c>
      <c r="J9" s="241"/>
      <c r="K9" s="242">
        <f t="shared" ref="K9" si="2">L9+M9</f>
        <v>530</v>
      </c>
      <c r="L9" s="244">
        <v>490</v>
      </c>
      <c r="M9" s="244">
        <v>40</v>
      </c>
      <c r="N9" s="244"/>
      <c r="O9" s="244"/>
      <c r="P9" s="241"/>
    </row>
    <row r="10" spans="1:20" hidden="1">
      <c r="A10" s="6" t="s">
        <v>26</v>
      </c>
      <c r="B10" s="712" t="s">
        <v>27</v>
      </c>
      <c r="C10" s="713"/>
      <c r="D10" s="6"/>
      <c r="E10" s="6"/>
      <c r="F10" s="6"/>
      <c r="G10" s="240">
        <f t="shared" si="1"/>
        <v>126092</v>
      </c>
      <c r="H10" s="285">
        <f>SUM(H11:H12)</f>
        <v>121865</v>
      </c>
      <c r="I10" s="240">
        <f>SUM(I11:I12)</f>
        <v>4227</v>
      </c>
      <c r="J10" s="240"/>
      <c r="K10" s="240">
        <f t="shared" ref="K10:N10" si="3">SUM(K11:K12)</f>
        <v>34157</v>
      </c>
      <c r="L10" s="240">
        <f t="shared" si="3"/>
        <v>32651</v>
      </c>
      <c r="M10" s="240">
        <f t="shared" si="3"/>
        <v>1506</v>
      </c>
      <c r="N10" s="240">
        <f t="shared" si="3"/>
        <v>0</v>
      </c>
      <c r="O10" s="240"/>
      <c r="P10" s="6"/>
    </row>
    <row r="11" spans="1:20" ht="105" hidden="1">
      <c r="A11" s="10">
        <v>1</v>
      </c>
      <c r="B11" s="241" t="s">
        <v>28</v>
      </c>
      <c r="C11" s="10" t="s">
        <v>29</v>
      </c>
      <c r="D11" s="10" t="s">
        <v>30</v>
      </c>
      <c r="E11" s="8" t="s">
        <v>31</v>
      </c>
      <c r="F11" s="8"/>
      <c r="G11" s="242">
        <f t="shared" si="1"/>
        <v>70000</v>
      </c>
      <c r="H11" s="287">
        <v>66247</v>
      </c>
      <c r="I11" s="242">
        <v>3753</v>
      </c>
      <c r="J11" s="245"/>
      <c r="K11" s="242">
        <f>L11+M11</f>
        <v>32157</v>
      </c>
      <c r="L11" s="242">
        <v>30651</v>
      </c>
      <c r="M11" s="242">
        <v>1506</v>
      </c>
      <c r="N11" s="245"/>
      <c r="O11" s="245"/>
      <c r="P11" s="4"/>
    </row>
    <row r="12" spans="1:20" ht="105" hidden="1">
      <c r="A12" s="10">
        <v>2</v>
      </c>
      <c r="B12" s="241" t="s">
        <v>32</v>
      </c>
      <c r="C12" s="10" t="s">
        <v>29</v>
      </c>
      <c r="D12" s="10" t="s">
        <v>30</v>
      </c>
      <c r="E12" s="8" t="s">
        <v>33</v>
      </c>
      <c r="F12" s="8"/>
      <c r="G12" s="242">
        <f t="shared" si="1"/>
        <v>56092</v>
      </c>
      <c r="H12" s="287">
        <v>55618</v>
      </c>
      <c r="I12" s="242">
        <v>474</v>
      </c>
      <c r="J12" s="246"/>
      <c r="K12" s="242">
        <f>L12+M12</f>
        <v>2000</v>
      </c>
      <c r="L12" s="242">
        <v>2000</v>
      </c>
      <c r="M12" s="242"/>
      <c r="N12" s="245"/>
      <c r="O12" s="245"/>
      <c r="P12" s="4"/>
    </row>
    <row r="13" spans="1:20" ht="85.5" hidden="1">
      <c r="A13" s="298" t="s">
        <v>34</v>
      </c>
      <c r="B13" s="236" t="s">
        <v>35</v>
      </c>
      <c r="C13" s="236"/>
      <c r="D13" s="236"/>
      <c r="E13" s="4"/>
      <c r="F13" s="4"/>
      <c r="G13" s="247">
        <f t="shared" si="1"/>
        <v>45000</v>
      </c>
      <c r="H13" s="288">
        <f>SUM(H14:H14)</f>
        <v>43000</v>
      </c>
      <c r="I13" s="247">
        <f>SUM(I14:I14)</f>
        <v>2000</v>
      </c>
      <c r="J13" s="248"/>
      <c r="K13" s="247">
        <f>L13+M13</f>
        <v>2000</v>
      </c>
      <c r="L13" s="247">
        <f>SUM(L14:L14)</f>
        <v>2000</v>
      </c>
      <c r="M13" s="247">
        <f>SUM(M14:M14)</f>
        <v>0</v>
      </c>
      <c r="N13" s="247">
        <f>SUM(N14:N14)</f>
        <v>0</v>
      </c>
      <c r="O13" s="247"/>
      <c r="P13" s="4"/>
    </row>
    <row r="14" spans="1:20" ht="90" hidden="1">
      <c r="A14" s="10">
        <v>5</v>
      </c>
      <c r="B14" s="241" t="s">
        <v>37</v>
      </c>
      <c r="C14" s="10" t="s">
        <v>38</v>
      </c>
      <c r="D14" s="10" t="s">
        <v>36</v>
      </c>
      <c r="E14" s="8" t="s">
        <v>33</v>
      </c>
      <c r="F14" s="8"/>
      <c r="G14" s="242">
        <f t="shared" si="1"/>
        <v>45000</v>
      </c>
      <c r="H14" s="287">
        <v>43000</v>
      </c>
      <c r="I14" s="242">
        <v>2000</v>
      </c>
      <c r="J14" s="246"/>
      <c r="K14" s="242">
        <f t="shared" ref="K14" si="4">L14+M14</f>
        <v>2000</v>
      </c>
      <c r="L14" s="242">
        <v>2000</v>
      </c>
      <c r="M14" s="242"/>
      <c r="N14" s="245"/>
      <c r="O14" s="245"/>
      <c r="P14" s="4"/>
    </row>
    <row r="15" spans="1:20" ht="185.25" hidden="1">
      <c r="A15" s="11" t="s">
        <v>39</v>
      </c>
      <c r="B15" s="239" t="s">
        <v>40</v>
      </c>
      <c r="C15" s="11"/>
      <c r="D15" s="11"/>
      <c r="E15" s="298"/>
      <c r="F15" s="401"/>
      <c r="G15" s="247">
        <f t="shared" ref="G15:N15" si="5">G16</f>
        <v>30170</v>
      </c>
      <c r="H15" s="288">
        <f t="shared" si="5"/>
        <v>28733</v>
      </c>
      <c r="I15" s="247">
        <f t="shared" si="5"/>
        <v>1437</v>
      </c>
      <c r="J15" s="247">
        <f t="shared" si="5"/>
        <v>0</v>
      </c>
      <c r="K15" s="247">
        <f t="shared" si="5"/>
        <v>6490</v>
      </c>
      <c r="L15" s="247">
        <f t="shared" si="5"/>
        <v>6181</v>
      </c>
      <c r="M15" s="247">
        <f t="shared" si="5"/>
        <v>309</v>
      </c>
      <c r="N15" s="247">
        <f t="shared" si="5"/>
        <v>0</v>
      </c>
      <c r="O15" s="247"/>
      <c r="P15" s="6"/>
    </row>
    <row r="16" spans="1:20" ht="45" hidden="1">
      <c r="A16" s="10">
        <v>1</v>
      </c>
      <c r="B16" s="241" t="s">
        <v>41</v>
      </c>
      <c r="C16" s="10" t="s">
        <v>42</v>
      </c>
      <c r="D16" s="10" t="s">
        <v>43</v>
      </c>
      <c r="E16" s="8" t="s">
        <v>31</v>
      </c>
      <c r="F16" s="8"/>
      <c r="G16" s="242">
        <f>H16+I16</f>
        <v>30170</v>
      </c>
      <c r="H16" s="287">
        <v>28733</v>
      </c>
      <c r="I16" s="242">
        <v>1437</v>
      </c>
      <c r="J16" s="246"/>
      <c r="K16" s="242">
        <f>L16+M16</f>
        <v>6490</v>
      </c>
      <c r="L16" s="242">
        <v>6181</v>
      </c>
      <c r="M16" s="242">
        <v>309</v>
      </c>
      <c r="N16" s="245"/>
      <c r="O16" s="245"/>
      <c r="P16" s="4"/>
    </row>
    <row r="17" spans="1:24" ht="21" hidden="1" customHeight="1">
      <c r="A17" s="298" t="s">
        <v>44</v>
      </c>
      <c r="B17" s="236" t="s">
        <v>45</v>
      </c>
      <c r="C17" s="236"/>
      <c r="D17" s="236"/>
      <c r="E17" s="236"/>
      <c r="F17" s="236"/>
      <c r="G17" s="237">
        <f t="shared" ref="G17:N17" si="6">G18+G988+G992+G994</f>
        <v>30170</v>
      </c>
      <c r="H17" s="284">
        <f t="shared" si="6"/>
        <v>28733</v>
      </c>
      <c r="I17" s="237">
        <f t="shared" si="6"/>
        <v>1437</v>
      </c>
      <c r="J17" s="237">
        <f t="shared" si="6"/>
        <v>0</v>
      </c>
      <c r="K17" s="237">
        <f t="shared" si="6"/>
        <v>6490</v>
      </c>
      <c r="L17" s="237">
        <f t="shared" si="6"/>
        <v>6181</v>
      </c>
      <c r="M17" s="237">
        <f t="shared" si="6"/>
        <v>309</v>
      </c>
      <c r="N17" s="237">
        <f t="shared" si="6"/>
        <v>0</v>
      </c>
      <c r="O17" s="237"/>
      <c r="P17" s="236"/>
    </row>
    <row r="18" spans="1:24" ht="21.75" hidden="1" customHeight="1">
      <c r="A18" s="10">
        <v>1</v>
      </c>
      <c r="B18" s="9" t="s">
        <v>41</v>
      </c>
      <c r="C18" s="10" t="s">
        <v>42</v>
      </c>
      <c r="D18" s="10" t="s">
        <v>43</v>
      </c>
      <c r="E18" s="8" t="s">
        <v>31</v>
      </c>
      <c r="F18" s="8"/>
      <c r="G18" s="130">
        <f>H18+I18</f>
        <v>30170</v>
      </c>
      <c r="H18" s="289">
        <v>28733</v>
      </c>
      <c r="I18" s="130">
        <v>1437</v>
      </c>
      <c r="J18" s="131"/>
      <c r="K18" s="130">
        <f>L18+M18</f>
        <v>6490</v>
      </c>
      <c r="L18" s="130">
        <v>6181</v>
      </c>
      <c r="M18" s="130">
        <v>309</v>
      </c>
      <c r="N18" s="4"/>
      <c r="O18" s="4"/>
      <c r="P18" s="4"/>
    </row>
    <row r="19" spans="1:24" ht="105.75" customHeight="1">
      <c r="A19" s="298" t="s">
        <v>44</v>
      </c>
      <c r="B19" s="239" t="s">
        <v>45</v>
      </c>
      <c r="C19" s="12"/>
      <c r="D19" s="12"/>
      <c r="E19" s="12"/>
      <c r="F19" s="12"/>
      <c r="G19" s="127">
        <f>+G20</f>
        <v>28637.598999999995</v>
      </c>
      <c r="H19" s="127">
        <f t="shared" ref="H19:N19" si="7">+H20</f>
        <v>27274.999999999996</v>
      </c>
      <c r="I19" s="127">
        <f t="shared" si="7"/>
        <v>1362.5989999999999</v>
      </c>
      <c r="J19" s="127">
        <f t="shared" si="7"/>
        <v>0</v>
      </c>
      <c r="K19" s="127">
        <f t="shared" si="7"/>
        <v>27882</v>
      </c>
      <c r="L19" s="127">
        <f t="shared" si="7"/>
        <v>26553.999999999996</v>
      </c>
      <c r="M19" s="127">
        <f t="shared" si="7"/>
        <v>1328</v>
      </c>
      <c r="N19" s="127">
        <f t="shared" si="7"/>
        <v>0</v>
      </c>
      <c r="O19" s="127"/>
      <c r="P19" s="12"/>
      <c r="S19" s="399">
        <f>+K19+'NĂM 2023'!N21+'NĂM 2024'!J21+'NĂM 2025'!J21</f>
        <v>154894</v>
      </c>
      <c r="T19" s="399">
        <f>+L19+'NĂM 2023'!O21+'NĂM 2024'!K21+'NĂM 2025'!K21</f>
        <v>147518</v>
      </c>
      <c r="U19" s="413">
        <f>+M19+'NĂM 2023'!P21+'NĂM 2024'!L21+'NĂM 2025'!L21</f>
        <v>7376.0000000000009</v>
      </c>
    </row>
    <row r="20" spans="1:24" ht="114" customHeight="1">
      <c r="A20" s="6" t="s">
        <v>46</v>
      </c>
      <c r="B20" s="128" t="s">
        <v>47</v>
      </c>
      <c r="C20" s="128"/>
      <c r="D20" s="128"/>
      <c r="E20" s="128"/>
      <c r="F20" s="128"/>
      <c r="G20" s="378">
        <f>+G21+G25+G30+G35+G39+G42+G46+G50+G53+G57+G59+G62+G67+G71+G73+G76+G78</f>
        <v>28637.598999999995</v>
      </c>
      <c r="H20" s="378">
        <f t="shared" ref="H20:N20" si="8">+H21+H25+H30+H35+H39+H42+H46+H50+H53+H57+H59+H62+H67+H71+H73+H76+H78</f>
        <v>27274.999999999996</v>
      </c>
      <c r="I20" s="378">
        <f t="shared" si="8"/>
        <v>1362.5989999999999</v>
      </c>
      <c r="J20" s="378">
        <f t="shared" si="8"/>
        <v>0</v>
      </c>
      <c r="K20" s="378">
        <f t="shared" si="8"/>
        <v>27882</v>
      </c>
      <c r="L20" s="378">
        <f t="shared" si="8"/>
        <v>26553.999999999996</v>
      </c>
      <c r="M20" s="378">
        <f t="shared" si="8"/>
        <v>1328</v>
      </c>
      <c r="N20" s="378">
        <f t="shared" si="8"/>
        <v>0</v>
      </c>
      <c r="O20" s="132"/>
      <c r="P20" s="12"/>
    </row>
    <row r="21" spans="1:24">
      <c r="A21" s="6" t="s">
        <v>14</v>
      </c>
      <c r="B21" s="6" t="s">
        <v>61</v>
      </c>
      <c r="C21" s="16"/>
      <c r="D21" s="16"/>
      <c r="E21" s="16"/>
      <c r="F21" s="16"/>
      <c r="G21" s="378">
        <f t="shared" ref="G21:N21" si="9">SUM(G22:G24)</f>
        <v>812.28899999999999</v>
      </c>
      <c r="H21" s="380">
        <f t="shared" si="9"/>
        <v>773.6</v>
      </c>
      <c r="I21" s="380">
        <f t="shared" si="9"/>
        <v>38.689</v>
      </c>
      <c r="J21" s="379">
        <f t="shared" si="9"/>
        <v>0</v>
      </c>
      <c r="K21" s="380">
        <f t="shared" si="9"/>
        <v>812.29</v>
      </c>
      <c r="L21" s="380">
        <f t="shared" si="9"/>
        <v>773.6</v>
      </c>
      <c r="M21" s="380">
        <f t="shared" si="9"/>
        <v>38.69</v>
      </c>
      <c r="N21" s="344">
        <f t="shared" si="9"/>
        <v>0</v>
      </c>
      <c r="O21" s="344"/>
      <c r="P21" s="322"/>
      <c r="R21" s="387">
        <f>+G21-K21</f>
        <v>-9.9999999997635314E-4</v>
      </c>
      <c r="S21" s="387">
        <f t="shared" ref="S21:T36" si="10">+H21-L21</f>
        <v>0</v>
      </c>
      <c r="T21" s="387">
        <f t="shared" si="10"/>
        <v>-9.9999999999766942E-4</v>
      </c>
    </row>
    <row r="22" spans="1:24" ht="57" customHeight="1">
      <c r="A22" s="8">
        <v>1</v>
      </c>
      <c r="B22" s="328" t="s">
        <v>62</v>
      </c>
      <c r="C22" s="8" t="s">
        <v>63</v>
      </c>
      <c r="D22" s="8" t="s">
        <v>64</v>
      </c>
      <c r="E22" s="8" t="s">
        <v>52</v>
      </c>
      <c r="F22" s="8"/>
      <c r="G22" s="392">
        <f>H22+I22</f>
        <v>270.79999999999995</v>
      </c>
      <c r="H22" s="392">
        <v>257.89999999999998</v>
      </c>
      <c r="I22" s="392">
        <v>12.9</v>
      </c>
      <c r="J22" s="393"/>
      <c r="K22" s="392">
        <f t="shared" ref="K22:K24" si="11">L22+M22</f>
        <v>270.79999999999995</v>
      </c>
      <c r="L22" s="392">
        <v>257.89999999999998</v>
      </c>
      <c r="M22" s="392">
        <v>12.9</v>
      </c>
      <c r="N22" s="15"/>
      <c r="O22" s="375" t="s">
        <v>928</v>
      </c>
      <c r="P22" s="15"/>
      <c r="R22" s="387">
        <f t="shared" ref="R22:R84" si="12">+G22-K22</f>
        <v>0</v>
      </c>
      <c r="S22" s="387">
        <f t="shared" si="10"/>
        <v>0</v>
      </c>
      <c r="T22" s="387">
        <f t="shared" si="10"/>
        <v>0</v>
      </c>
      <c r="V22" s="387" t="e">
        <f>+#REF!+'NĂM 2023'!N21+'NĂM 2024'!J21+'NĂM 2025'!J21</f>
        <v>#REF!</v>
      </c>
      <c r="W22" s="387" t="e">
        <f>+#REF!+'NĂM 2023'!O21+'NĂM 2024'!K21+'NĂM 2025'!K21</f>
        <v>#REF!</v>
      </c>
      <c r="X22" s="387" t="e">
        <f>+#REF!+'NĂM 2023'!P21+'NĂM 2024'!L21+'NĂM 2025'!L21</f>
        <v>#REF!</v>
      </c>
    </row>
    <row r="23" spans="1:24" ht="51.75" customHeight="1">
      <c r="A23" s="8">
        <v>2</v>
      </c>
      <c r="B23" s="328" t="s">
        <v>65</v>
      </c>
      <c r="C23" s="8" t="s">
        <v>66</v>
      </c>
      <c r="D23" s="8" t="s">
        <v>67</v>
      </c>
      <c r="E23" s="8" t="s">
        <v>52</v>
      </c>
      <c r="F23" s="8"/>
      <c r="G23" s="392">
        <f>H23+I23</f>
        <v>270.74</v>
      </c>
      <c r="H23" s="392">
        <v>257.85000000000002</v>
      </c>
      <c r="I23" s="392">
        <v>12.89</v>
      </c>
      <c r="J23" s="393"/>
      <c r="K23" s="392">
        <f t="shared" si="11"/>
        <v>270.74</v>
      </c>
      <c r="L23" s="392">
        <v>257.85000000000002</v>
      </c>
      <c r="M23" s="392">
        <v>12.89</v>
      </c>
      <c r="N23" s="15"/>
      <c r="O23" s="375" t="s">
        <v>928</v>
      </c>
      <c r="P23" s="15"/>
      <c r="R23" s="387">
        <f t="shared" si="12"/>
        <v>0</v>
      </c>
      <c r="S23" s="387">
        <f t="shared" si="10"/>
        <v>0</v>
      </c>
      <c r="T23" s="387">
        <f t="shared" si="10"/>
        <v>0</v>
      </c>
    </row>
    <row r="24" spans="1:24" ht="62.25" customHeight="1">
      <c r="A24" s="8">
        <v>3</v>
      </c>
      <c r="B24" s="328" t="s">
        <v>68</v>
      </c>
      <c r="C24" s="8" t="s">
        <v>69</v>
      </c>
      <c r="D24" s="8" t="s">
        <v>70</v>
      </c>
      <c r="E24" s="8" t="s">
        <v>52</v>
      </c>
      <c r="F24" s="8"/>
      <c r="G24" s="392">
        <f>H24+I24</f>
        <v>270.74900000000002</v>
      </c>
      <c r="H24" s="392">
        <v>257.85000000000002</v>
      </c>
      <c r="I24" s="392">
        <v>12.898999999999999</v>
      </c>
      <c r="J24" s="393"/>
      <c r="K24" s="392">
        <f t="shared" si="11"/>
        <v>270.75</v>
      </c>
      <c r="L24" s="392">
        <v>257.85000000000002</v>
      </c>
      <c r="M24" s="392">
        <v>12.9</v>
      </c>
      <c r="N24" s="15"/>
      <c r="O24" s="8" t="s">
        <v>919</v>
      </c>
      <c r="P24" s="15"/>
      <c r="R24" s="387">
        <f t="shared" si="12"/>
        <v>-9.9999999997635314E-4</v>
      </c>
      <c r="S24" s="387">
        <f t="shared" si="10"/>
        <v>0</v>
      </c>
      <c r="T24" s="387">
        <f t="shared" si="10"/>
        <v>-1.0000000000012221E-3</v>
      </c>
    </row>
    <row r="25" spans="1:24">
      <c r="A25" s="6" t="s">
        <v>34</v>
      </c>
      <c r="B25" s="326" t="s">
        <v>91</v>
      </c>
      <c r="C25" s="6"/>
      <c r="D25" s="23">
        <v>0</v>
      </c>
      <c r="E25" s="23"/>
      <c r="F25" s="23"/>
      <c r="G25" s="394">
        <f t="shared" ref="G25:M25" si="13">SUM(G26:G29)</f>
        <v>1818.67</v>
      </c>
      <c r="H25" s="394">
        <f t="shared" si="13"/>
        <v>1732.07</v>
      </c>
      <c r="I25" s="394">
        <f t="shared" si="13"/>
        <v>86.6</v>
      </c>
      <c r="J25" s="394">
        <f t="shared" si="13"/>
        <v>0</v>
      </c>
      <c r="K25" s="394">
        <f t="shared" si="13"/>
        <v>1818.67</v>
      </c>
      <c r="L25" s="394">
        <f t="shared" si="13"/>
        <v>1732.07</v>
      </c>
      <c r="M25" s="394">
        <f t="shared" si="13"/>
        <v>86.6</v>
      </c>
      <c r="N25" s="344">
        <f t="shared" ref="N25" si="14">SUM(N26:N28)</f>
        <v>0</v>
      </c>
      <c r="O25" s="345"/>
      <c r="P25" s="347"/>
      <c r="R25" s="387">
        <f t="shared" si="12"/>
        <v>0</v>
      </c>
      <c r="S25" s="387">
        <f t="shared" si="10"/>
        <v>0</v>
      </c>
      <c r="T25" s="387">
        <f t="shared" si="10"/>
        <v>0</v>
      </c>
    </row>
    <row r="26" spans="1:24" ht="57.75" customHeight="1">
      <c r="A26" s="8">
        <v>1</v>
      </c>
      <c r="B26" s="328" t="s">
        <v>92</v>
      </c>
      <c r="C26" s="8" t="s">
        <v>972</v>
      </c>
      <c r="D26" s="8" t="s">
        <v>94</v>
      </c>
      <c r="E26" s="8" t="s">
        <v>52</v>
      </c>
      <c r="F26" s="8"/>
      <c r="G26" s="392">
        <f t="shared" ref="G26:G29" si="15">H26+I26</f>
        <v>462</v>
      </c>
      <c r="H26" s="392">
        <v>440</v>
      </c>
      <c r="I26" s="392">
        <v>22</v>
      </c>
      <c r="J26" s="393">
        <v>0</v>
      </c>
      <c r="K26" s="392">
        <f t="shared" ref="K26:K29" si="16">L26+M26</f>
        <v>462</v>
      </c>
      <c r="L26" s="392">
        <v>440</v>
      </c>
      <c r="M26" s="392">
        <v>22</v>
      </c>
      <c r="N26" s="15"/>
      <c r="O26" s="8" t="s">
        <v>920</v>
      </c>
      <c r="P26" s="15"/>
      <c r="R26" s="387">
        <f t="shared" si="12"/>
        <v>0</v>
      </c>
      <c r="S26" s="387">
        <f t="shared" si="10"/>
        <v>0</v>
      </c>
      <c r="T26" s="387">
        <f t="shared" si="10"/>
        <v>0</v>
      </c>
    </row>
    <row r="27" spans="1:24" ht="43.5" customHeight="1">
      <c r="A27" s="8">
        <v>2</v>
      </c>
      <c r="B27" s="328" t="s">
        <v>95</v>
      </c>
      <c r="C27" s="8" t="s">
        <v>974</v>
      </c>
      <c r="D27" s="8" t="s">
        <v>94</v>
      </c>
      <c r="E27" s="8" t="s">
        <v>52</v>
      </c>
      <c r="F27" s="8"/>
      <c r="G27" s="392">
        <f t="shared" si="15"/>
        <v>462</v>
      </c>
      <c r="H27" s="392">
        <v>440</v>
      </c>
      <c r="I27" s="392">
        <v>22</v>
      </c>
      <c r="J27" s="393">
        <v>0</v>
      </c>
      <c r="K27" s="392">
        <f t="shared" si="16"/>
        <v>462</v>
      </c>
      <c r="L27" s="392">
        <v>440</v>
      </c>
      <c r="M27" s="392">
        <v>22</v>
      </c>
      <c r="N27" s="15"/>
      <c r="O27" s="8" t="s">
        <v>920</v>
      </c>
      <c r="P27" s="15"/>
      <c r="R27" s="387">
        <f t="shared" si="12"/>
        <v>0</v>
      </c>
      <c r="S27" s="387">
        <f t="shared" si="10"/>
        <v>0</v>
      </c>
      <c r="T27" s="387">
        <f t="shared" si="10"/>
        <v>0</v>
      </c>
    </row>
    <row r="28" spans="1:24" ht="54.75" customHeight="1">
      <c r="A28" s="8">
        <v>3</v>
      </c>
      <c r="B28" s="328" t="s">
        <v>97</v>
      </c>
      <c r="C28" s="8" t="s">
        <v>973</v>
      </c>
      <c r="D28" s="8" t="s">
        <v>99</v>
      </c>
      <c r="E28" s="8" t="s">
        <v>52</v>
      </c>
      <c r="F28" s="8"/>
      <c r="G28" s="392">
        <f t="shared" si="15"/>
        <v>630</v>
      </c>
      <c r="H28" s="392">
        <v>600</v>
      </c>
      <c r="I28" s="392">
        <v>30</v>
      </c>
      <c r="J28" s="393">
        <v>0</v>
      </c>
      <c r="K28" s="392">
        <f t="shared" si="16"/>
        <v>630</v>
      </c>
      <c r="L28" s="392">
        <v>600</v>
      </c>
      <c r="M28" s="392">
        <v>30</v>
      </c>
      <c r="N28" s="15"/>
      <c r="O28" s="8" t="s">
        <v>920</v>
      </c>
      <c r="P28" s="15"/>
      <c r="R28" s="387">
        <f t="shared" si="12"/>
        <v>0</v>
      </c>
      <c r="S28" s="387">
        <f t="shared" si="10"/>
        <v>0</v>
      </c>
      <c r="T28" s="387">
        <f t="shared" si="10"/>
        <v>0</v>
      </c>
    </row>
    <row r="29" spans="1:24" ht="54.75" customHeight="1">
      <c r="A29" s="8">
        <v>4</v>
      </c>
      <c r="B29" s="328" t="s">
        <v>100</v>
      </c>
      <c r="C29" s="8" t="s">
        <v>972</v>
      </c>
      <c r="D29" s="8" t="s">
        <v>101</v>
      </c>
      <c r="E29" s="8" t="s">
        <v>52</v>
      </c>
      <c r="F29" s="8"/>
      <c r="G29" s="392">
        <f t="shared" si="15"/>
        <v>264.67</v>
      </c>
      <c r="H29" s="392">
        <v>252.07</v>
      </c>
      <c r="I29" s="392">
        <v>12.6</v>
      </c>
      <c r="J29" s="393">
        <v>0</v>
      </c>
      <c r="K29" s="392">
        <f t="shared" si="16"/>
        <v>264.67</v>
      </c>
      <c r="L29" s="392">
        <v>252.07</v>
      </c>
      <c r="M29" s="392">
        <v>12.6</v>
      </c>
      <c r="N29" s="15"/>
      <c r="O29" s="8" t="s">
        <v>920</v>
      </c>
      <c r="P29" s="15"/>
      <c r="R29" s="387">
        <f t="shared" si="12"/>
        <v>0</v>
      </c>
      <c r="S29" s="387">
        <f t="shared" si="10"/>
        <v>0</v>
      </c>
      <c r="T29" s="387">
        <f t="shared" si="10"/>
        <v>0</v>
      </c>
    </row>
    <row r="30" spans="1:24">
      <c r="A30" s="6" t="s">
        <v>39</v>
      </c>
      <c r="B30" s="326" t="s">
        <v>118</v>
      </c>
      <c r="C30" s="6"/>
      <c r="D30" s="23">
        <v>0</v>
      </c>
      <c r="E30" s="23"/>
      <c r="F30" s="23"/>
      <c r="G30" s="394">
        <f t="shared" ref="G30:M30" si="17">SUM(G31:G34)</f>
        <v>1624.46</v>
      </c>
      <c r="H30" s="394">
        <f t="shared" si="17"/>
        <v>1547.1</v>
      </c>
      <c r="I30" s="394">
        <f t="shared" si="17"/>
        <v>77.36</v>
      </c>
      <c r="J30" s="394">
        <f t="shared" si="17"/>
        <v>0</v>
      </c>
      <c r="K30" s="394">
        <f t="shared" si="17"/>
        <v>1624.46</v>
      </c>
      <c r="L30" s="394">
        <f t="shared" si="17"/>
        <v>1547.1</v>
      </c>
      <c r="M30" s="394">
        <f t="shared" si="17"/>
        <v>77.36</v>
      </c>
      <c r="N30" s="344">
        <f t="shared" ref="N30" si="18">SUM(N31:N33)</f>
        <v>0</v>
      </c>
      <c r="O30" s="345"/>
      <c r="P30" s="347"/>
      <c r="R30" s="387">
        <f t="shared" si="12"/>
        <v>0</v>
      </c>
      <c r="S30" s="387">
        <f t="shared" si="10"/>
        <v>0</v>
      </c>
      <c r="T30" s="387">
        <f t="shared" si="10"/>
        <v>0</v>
      </c>
    </row>
    <row r="31" spans="1:24" ht="45" customHeight="1">
      <c r="A31" s="8">
        <v>1</v>
      </c>
      <c r="B31" s="328" t="s">
        <v>119</v>
      </c>
      <c r="C31" s="8" t="s">
        <v>971</v>
      </c>
      <c r="D31" s="8" t="s">
        <v>94</v>
      </c>
      <c r="E31" s="8" t="s">
        <v>52</v>
      </c>
      <c r="F31" s="8"/>
      <c r="G31" s="392">
        <f t="shared" ref="G31:G33" si="19">H31+I31</f>
        <v>367.5</v>
      </c>
      <c r="H31" s="392">
        <v>350</v>
      </c>
      <c r="I31" s="392">
        <v>17.5</v>
      </c>
      <c r="J31" s="393">
        <v>0</v>
      </c>
      <c r="K31" s="392">
        <f t="shared" ref="K31:K34" si="20">L31+M31</f>
        <v>367.5</v>
      </c>
      <c r="L31" s="392">
        <v>350</v>
      </c>
      <c r="M31" s="392">
        <v>17.5</v>
      </c>
      <c r="N31" s="15"/>
      <c r="O31" s="8" t="s">
        <v>921</v>
      </c>
      <c r="P31" s="15"/>
      <c r="R31" s="387">
        <f t="shared" si="12"/>
        <v>0</v>
      </c>
      <c r="S31" s="387">
        <f t="shared" si="10"/>
        <v>0</v>
      </c>
      <c r="T31" s="387">
        <f t="shared" si="10"/>
        <v>0</v>
      </c>
    </row>
    <row r="32" spans="1:24" ht="45" customHeight="1">
      <c r="A32" s="8">
        <v>2</v>
      </c>
      <c r="B32" s="328" t="s">
        <v>121</v>
      </c>
      <c r="C32" s="8" t="s">
        <v>970</v>
      </c>
      <c r="D32" s="8" t="s">
        <v>94</v>
      </c>
      <c r="E32" s="8" t="s">
        <v>52</v>
      </c>
      <c r="F32" s="8"/>
      <c r="G32" s="392">
        <f t="shared" si="19"/>
        <v>367.5</v>
      </c>
      <c r="H32" s="392">
        <v>350</v>
      </c>
      <c r="I32" s="392">
        <v>17.5</v>
      </c>
      <c r="J32" s="393">
        <v>0</v>
      </c>
      <c r="K32" s="392">
        <f t="shared" si="20"/>
        <v>367.5</v>
      </c>
      <c r="L32" s="392">
        <v>350</v>
      </c>
      <c r="M32" s="392">
        <v>17.5</v>
      </c>
      <c r="N32" s="15"/>
      <c r="O32" s="8" t="s">
        <v>921</v>
      </c>
      <c r="P32" s="15"/>
      <c r="R32" s="387">
        <f t="shared" si="12"/>
        <v>0</v>
      </c>
      <c r="S32" s="387">
        <f t="shared" si="10"/>
        <v>0</v>
      </c>
      <c r="T32" s="387">
        <f t="shared" si="10"/>
        <v>0</v>
      </c>
    </row>
    <row r="33" spans="1:24" ht="45" customHeight="1">
      <c r="A33" s="8">
        <v>3</v>
      </c>
      <c r="B33" s="328" t="s">
        <v>123</v>
      </c>
      <c r="C33" s="8" t="s">
        <v>969</v>
      </c>
      <c r="D33" s="8" t="s">
        <v>125</v>
      </c>
      <c r="E33" s="8" t="s">
        <v>52</v>
      </c>
      <c r="F33" s="8"/>
      <c r="G33" s="392">
        <f t="shared" si="19"/>
        <v>367.5</v>
      </c>
      <c r="H33" s="392">
        <v>350</v>
      </c>
      <c r="I33" s="392">
        <v>17.5</v>
      </c>
      <c r="J33" s="393">
        <v>0</v>
      </c>
      <c r="K33" s="392">
        <f t="shared" si="20"/>
        <v>367.5</v>
      </c>
      <c r="L33" s="392">
        <v>350</v>
      </c>
      <c r="M33" s="392">
        <v>17.5</v>
      </c>
      <c r="N33" s="15"/>
      <c r="O33" s="8" t="s">
        <v>921</v>
      </c>
      <c r="P33" s="15"/>
      <c r="R33" s="387">
        <f t="shared" si="12"/>
        <v>0</v>
      </c>
      <c r="S33" s="387">
        <f t="shared" si="10"/>
        <v>0</v>
      </c>
      <c r="T33" s="387">
        <f t="shared" si="10"/>
        <v>0</v>
      </c>
    </row>
    <row r="34" spans="1:24" ht="45" customHeight="1">
      <c r="A34" s="8">
        <v>4</v>
      </c>
      <c r="B34" s="328" t="s">
        <v>126</v>
      </c>
      <c r="C34" s="8" t="s">
        <v>968</v>
      </c>
      <c r="D34" s="8" t="s">
        <v>128</v>
      </c>
      <c r="E34" s="8" t="s">
        <v>52</v>
      </c>
      <c r="F34" s="8"/>
      <c r="G34" s="392">
        <f>H34+I34</f>
        <v>521.96</v>
      </c>
      <c r="H34" s="392">
        <v>497.1</v>
      </c>
      <c r="I34" s="392">
        <v>24.86</v>
      </c>
      <c r="J34" s="393">
        <v>0</v>
      </c>
      <c r="K34" s="392">
        <f t="shared" si="20"/>
        <v>521.96</v>
      </c>
      <c r="L34" s="392">
        <v>497.1</v>
      </c>
      <c r="M34" s="392">
        <v>24.86</v>
      </c>
      <c r="N34" s="15"/>
      <c r="O34" s="8" t="s">
        <v>921</v>
      </c>
      <c r="P34" s="15"/>
      <c r="R34" s="387">
        <f t="shared" si="12"/>
        <v>0</v>
      </c>
      <c r="S34" s="387">
        <f t="shared" si="10"/>
        <v>0</v>
      </c>
      <c r="T34" s="387">
        <f t="shared" si="10"/>
        <v>0</v>
      </c>
    </row>
    <row r="35" spans="1:24">
      <c r="A35" s="6" t="s">
        <v>44</v>
      </c>
      <c r="B35" s="326" t="s">
        <v>138</v>
      </c>
      <c r="C35" s="24"/>
      <c r="D35" s="23">
        <v>0</v>
      </c>
      <c r="E35" s="23"/>
      <c r="F35" s="23"/>
      <c r="G35" s="394">
        <f t="shared" ref="G35:M35" si="21">SUM(G36:G38)</f>
        <v>2003.6999999999998</v>
      </c>
      <c r="H35" s="394">
        <f t="shared" si="21"/>
        <v>1908.12</v>
      </c>
      <c r="I35" s="394">
        <f t="shared" si="21"/>
        <v>95.58</v>
      </c>
      <c r="J35" s="394">
        <f t="shared" si="21"/>
        <v>0</v>
      </c>
      <c r="K35" s="394">
        <f t="shared" si="21"/>
        <v>2003.6999999999998</v>
      </c>
      <c r="L35" s="394">
        <f t="shared" si="21"/>
        <v>1908.12</v>
      </c>
      <c r="M35" s="394">
        <f t="shared" si="21"/>
        <v>95.58</v>
      </c>
      <c r="N35" s="344">
        <f t="shared" ref="N35" si="22">SUM(N36:N38)</f>
        <v>0</v>
      </c>
      <c r="O35" s="345"/>
      <c r="P35" s="348"/>
      <c r="R35" s="387">
        <f t="shared" si="12"/>
        <v>0</v>
      </c>
      <c r="S35" s="387">
        <f t="shared" si="10"/>
        <v>0</v>
      </c>
      <c r="T35" s="387">
        <f t="shared" si="10"/>
        <v>0</v>
      </c>
    </row>
    <row r="36" spans="1:24" ht="51" customHeight="1">
      <c r="A36" s="8">
        <v>1</v>
      </c>
      <c r="B36" s="328" t="s">
        <v>139</v>
      </c>
      <c r="C36" s="8" t="s">
        <v>967</v>
      </c>
      <c r="D36" s="22" t="s">
        <v>141</v>
      </c>
      <c r="E36" s="8" t="s">
        <v>52</v>
      </c>
      <c r="F36" s="8"/>
      <c r="G36" s="392">
        <f>H36+I36</f>
        <v>735</v>
      </c>
      <c r="H36" s="392">
        <v>700</v>
      </c>
      <c r="I36" s="392">
        <v>35</v>
      </c>
      <c r="J36" s="393">
        <v>0</v>
      </c>
      <c r="K36" s="392">
        <f>L36+M36</f>
        <v>735</v>
      </c>
      <c r="L36" s="392">
        <v>700</v>
      </c>
      <c r="M36" s="392">
        <v>35</v>
      </c>
      <c r="N36" s="15"/>
      <c r="O36" s="8" t="s">
        <v>922</v>
      </c>
      <c r="P36" s="15"/>
      <c r="R36" s="387">
        <f t="shared" si="12"/>
        <v>0</v>
      </c>
      <c r="S36" s="387">
        <f t="shared" si="10"/>
        <v>0</v>
      </c>
      <c r="T36" s="387">
        <f t="shared" si="10"/>
        <v>0</v>
      </c>
    </row>
    <row r="37" spans="1:24" ht="60">
      <c r="A37" s="8">
        <v>2</v>
      </c>
      <c r="B37" s="328" t="s">
        <v>827</v>
      </c>
      <c r="C37" s="8" t="s">
        <v>967</v>
      </c>
      <c r="D37" s="22" t="s">
        <v>142</v>
      </c>
      <c r="E37" s="8" t="s">
        <v>52</v>
      </c>
      <c r="F37" s="8"/>
      <c r="G37" s="392">
        <f t="shared" ref="G37" si="23">H37+I37</f>
        <v>331.8</v>
      </c>
      <c r="H37" s="392">
        <v>316</v>
      </c>
      <c r="I37" s="392">
        <v>15.8</v>
      </c>
      <c r="J37" s="393">
        <v>0</v>
      </c>
      <c r="K37" s="392">
        <f t="shared" ref="K37" si="24">L37+M37</f>
        <v>331.8</v>
      </c>
      <c r="L37" s="392">
        <v>316</v>
      </c>
      <c r="M37" s="392">
        <v>15.8</v>
      </c>
      <c r="N37" s="15"/>
      <c r="O37" s="8" t="s">
        <v>922</v>
      </c>
      <c r="P37" s="15"/>
      <c r="R37" s="387">
        <f t="shared" si="12"/>
        <v>0</v>
      </c>
      <c r="S37" s="387">
        <f t="shared" ref="S37:S45" si="25">+H37-L37</f>
        <v>0</v>
      </c>
      <c r="T37" s="387">
        <f t="shared" ref="T37:T45" si="26">+I37-M37</f>
        <v>0</v>
      </c>
    </row>
    <row r="38" spans="1:24" ht="60">
      <c r="A38" s="8">
        <v>3</v>
      </c>
      <c r="B38" s="328" t="s">
        <v>143</v>
      </c>
      <c r="C38" s="8" t="s">
        <v>967</v>
      </c>
      <c r="D38" s="8" t="s">
        <v>828</v>
      </c>
      <c r="E38" s="8" t="s">
        <v>52</v>
      </c>
      <c r="F38" s="8"/>
      <c r="G38" s="392">
        <f>H38+I38</f>
        <v>936.9</v>
      </c>
      <c r="H38" s="392">
        <v>892.12</v>
      </c>
      <c r="I38" s="392">
        <v>44.78</v>
      </c>
      <c r="J38" s="393">
        <v>0</v>
      </c>
      <c r="K38" s="392">
        <f>L38+M38</f>
        <v>936.9</v>
      </c>
      <c r="L38" s="392">
        <v>892.12</v>
      </c>
      <c r="M38" s="392">
        <v>44.78</v>
      </c>
      <c r="N38" s="15"/>
      <c r="O38" s="8" t="s">
        <v>922</v>
      </c>
      <c r="P38" s="15"/>
      <c r="R38" s="387">
        <f t="shared" si="12"/>
        <v>0</v>
      </c>
      <c r="S38" s="387">
        <f t="shared" si="25"/>
        <v>0</v>
      </c>
      <c r="T38" s="387">
        <f t="shared" si="26"/>
        <v>0</v>
      </c>
    </row>
    <row r="39" spans="1:24">
      <c r="A39" s="6" t="s">
        <v>549</v>
      </c>
      <c r="B39" s="326" t="s">
        <v>148</v>
      </c>
      <c r="C39" s="24"/>
      <c r="D39" s="23">
        <v>0</v>
      </c>
      <c r="E39" s="23"/>
      <c r="F39" s="23"/>
      <c r="G39" s="394">
        <f t="shared" ref="G39:M39" si="27">SUM(G40:G41)</f>
        <v>1818.69</v>
      </c>
      <c r="H39" s="394">
        <f t="shared" si="27"/>
        <v>1731.69</v>
      </c>
      <c r="I39" s="394">
        <f t="shared" si="27"/>
        <v>87</v>
      </c>
      <c r="J39" s="394">
        <f t="shared" si="27"/>
        <v>0</v>
      </c>
      <c r="K39" s="394">
        <f t="shared" si="27"/>
        <v>1818.69</v>
      </c>
      <c r="L39" s="394">
        <f t="shared" si="27"/>
        <v>1731.69</v>
      </c>
      <c r="M39" s="394">
        <f t="shared" si="27"/>
        <v>87</v>
      </c>
      <c r="N39" s="344">
        <f t="shared" ref="N39" si="28">SUM(N40:N42)</f>
        <v>0</v>
      </c>
      <c r="O39" s="129"/>
      <c r="P39" s="16"/>
      <c r="R39" s="387">
        <f t="shared" si="12"/>
        <v>0</v>
      </c>
      <c r="S39" s="387">
        <f t="shared" si="25"/>
        <v>0</v>
      </c>
      <c r="T39" s="387">
        <f t="shared" si="26"/>
        <v>0</v>
      </c>
    </row>
    <row r="40" spans="1:24" ht="81" customHeight="1">
      <c r="A40" s="21">
        <v>1</v>
      </c>
      <c r="B40" s="329" t="s">
        <v>149</v>
      </c>
      <c r="C40" s="21" t="s">
        <v>966</v>
      </c>
      <c r="D40" s="21" t="s">
        <v>151</v>
      </c>
      <c r="E40" s="21" t="s">
        <v>52</v>
      </c>
      <c r="F40" s="21" t="s">
        <v>977</v>
      </c>
      <c r="G40" s="392">
        <f t="shared" ref="G40:G41" si="29">H40+I40</f>
        <v>998</v>
      </c>
      <c r="H40" s="392">
        <v>950</v>
      </c>
      <c r="I40" s="392">
        <v>48</v>
      </c>
      <c r="J40" s="393"/>
      <c r="K40" s="392">
        <f t="shared" ref="K40:K41" si="30">L40+M40</f>
        <v>998</v>
      </c>
      <c r="L40" s="392">
        <v>950</v>
      </c>
      <c r="M40" s="392">
        <v>48</v>
      </c>
      <c r="N40" s="15"/>
      <c r="O40" s="8" t="s">
        <v>923</v>
      </c>
      <c r="P40" s="15"/>
      <c r="R40" s="387">
        <f t="shared" si="12"/>
        <v>0</v>
      </c>
      <c r="S40" s="387">
        <f t="shared" si="25"/>
        <v>0</v>
      </c>
      <c r="T40" s="387">
        <f t="shared" si="26"/>
        <v>0</v>
      </c>
    </row>
    <row r="41" spans="1:24" ht="88.5" customHeight="1">
      <c r="A41" s="21">
        <v>2</v>
      </c>
      <c r="B41" s="329" t="s">
        <v>152</v>
      </c>
      <c r="C41" s="21" t="s">
        <v>965</v>
      </c>
      <c r="D41" s="21" t="s">
        <v>154</v>
      </c>
      <c r="E41" s="21" t="s">
        <v>52</v>
      </c>
      <c r="F41" s="21" t="s">
        <v>978</v>
      </c>
      <c r="G41" s="392">
        <f t="shared" si="29"/>
        <v>820.69</v>
      </c>
      <c r="H41" s="392">
        <v>781.69</v>
      </c>
      <c r="I41" s="392">
        <v>39</v>
      </c>
      <c r="J41" s="393"/>
      <c r="K41" s="392">
        <f t="shared" si="30"/>
        <v>820.69</v>
      </c>
      <c r="L41" s="392">
        <v>781.69</v>
      </c>
      <c r="M41" s="392">
        <v>39</v>
      </c>
      <c r="N41" s="15"/>
      <c r="O41" s="8" t="s">
        <v>923</v>
      </c>
      <c r="P41" s="15"/>
      <c r="R41" s="387">
        <f t="shared" si="12"/>
        <v>0</v>
      </c>
      <c r="S41" s="387">
        <f t="shared" si="25"/>
        <v>0</v>
      </c>
      <c r="T41" s="387">
        <f t="shared" si="26"/>
        <v>0</v>
      </c>
    </row>
    <row r="42" spans="1:24">
      <c r="A42" s="6" t="s">
        <v>550</v>
      </c>
      <c r="B42" s="326" t="s">
        <v>186</v>
      </c>
      <c r="C42" s="24"/>
      <c r="D42" s="23">
        <v>0</v>
      </c>
      <c r="E42" s="23"/>
      <c r="F42" s="23"/>
      <c r="G42" s="394">
        <f t="shared" ref="G42:M42" si="31">SUM(G43:G45)</f>
        <v>1813.4</v>
      </c>
      <c r="H42" s="394">
        <f t="shared" si="31"/>
        <v>1727.04</v>
      </c>
      <c r="I42" s="394">
        <f t="shared" si="31"/>
        <v>86.36</v>
      </c>
      <c r="J42" s="394">
        <f t="shared" si="31"/>
        <v>0</v>
      </c>
      <c r="K42" s="394">
        <f t="shared" si="31"/>
        <v>1813.4</v>
      </c>
      <c r="L42" s="394">
        <f t="shared" si="31"/>
        <v>1727.04</v>
      </c>
      <c r="M42" s="394">
        <f t="shared" si="31"/>
        <v>86.36</v>
      </c>
      <c r="N42" s="344">
        <f t="shared" ref="N42" si="32">SUM(N43:N45)</f>
        <v>0</v>
      </c>
      <c r="O42" s="345"/>
      <c r="P42" s="347"/>
      <c r="R42" s="387">
        <f t="shared" si="12"/>
        <v>0</v>
      </c>
      <c r="S42" s="387">
        <f t="shared" si="25"/>
        <v>0</v>
      </c>
      <c r="T42" s="387">
        <f t="shared" si="26"/>
        <v>0</v>
      </c>
    </row>
    <row r="43" spans="1:24" ht="90">
      <c r="A43" s="8">
        <v>1</v>
      </c>
      <c r="B43" s="360" t="s">
        <v>187</v>
      </c>
      <c r="C43" s="8" t="s">
        <v>188</v>
      </c>
      <c r="D43" s="8" t="s">
        <v>189</v>
      </c>
      <c r="E43" s="381" t="s">
        <v>52</v>
      </c>
      <c r="F43" s="21" t="s">
        <v>979</v>
      </c>
      <c r="G43" s="392">
        <f t="shared" ref="G43:G45" si="33">H43+I43</f>
        <v>395.85</v>
      </c>
      <c r="H43" s="392">
        <v>377</v>
      </c>
      <c r="I43" s="392">
        <v>18.850000000000001</v>
      </c>
      <c r="J43" s="393"/>
      <c r="K43" s="392">
        <f t="shared" ref="K43:K45" si="34">L43+M43</f>
        <v>395.85</v>
      </c>
      <c r="L43" s="392">
        <v>377</v>
      </c>
      <c r="M43" s="392">
        <v>18.850000000000001</v>
      </c>
      <c r="N43" s="15"/>
      <c r="O43" s="8" t="s">
        <v>924</v>
      </c>
      <c r="P43" s="15"/>
      <c r="R43" s="387">
        <f t="shared" si="12"/>
        <v>0</v>
      </c>
      <c r="S43" s="387">
        <f t="shared" si="25"/>
        <v>0</v>
      </c>
      <c r="T43" s="387">
        <f t="shared" si="26"/>
        <v>0</v>
      </c>
    </row>
    <row r="44" spans="1:24" ht="77.25" customHeight="1">
      <c r="A44" s="8">
        <v>2</v>
      </c>
      <c r="B44" s="382" t="s">
        <v>190</v>
      </c>
      <c r="C44" s="383" t="s">
        <v>191</v>
      </c>
      <c r="D44" s="383" t="s">
        <v>192</v>
      </c>
      <c r="E44" s="381" t="s">
        <v>52</v>
      </c>
      <c r="F44" s="21" t="s">
        <v>980</v>
      </c>
      <c r="G44" s="392">
        <f t="shared" si="33"/>
        <v>577.5</v>
      </c>
      <c r="H44" s="392">
        <v>550</v>
      </c>
      <c r="I44" s="392">
        <v>27.5</v>
      </c>
      <c r="J44" s="393"/>
      <c r="K44" s="392">
        <f t="shared" si="34"/>
        <v>577.5</v>
      </c>
      <c r="L44" s="392">
        <v>550</v>
      </c>
      <c r="M44" s="392">
        <v>27.5</v>
      </c>
      <c r="N44" s="15"/>
      <c r="O44" s="8" t="s">
        <v>924</v>
      </c>
      <c r="P44" s="15"/>
      <c r="R44" s="387">
        <f t="shared" si="12"/>
        <v>0</v>
      </c>
      <c r="S44" s="387">
        <f t="shared" si="25"/>
        <v>0</v>
      </c>
      <c r="T44" s="387">
        <f t="shared" si="26"/>
        <v>0</v>
      </c>
    </row>
    <row r="45" spans="1:24" ht="77.25" customHeight="1">
      <c r="A45" s="8">
        <v>3</v>
      </c>
      <c r="B45" s="360" t="s">
        <v>193</v>
      </c>
      <c r="C45" s="8" t="s">
        <v>194</v>
      </c>
      <c r="D45" s="8" t="s">
        <v>110</v>
      </c>
      <c r="E45" s="381" t="s">
        <v>52</v>
      </c>
      <c r="F45" s="21" t="s">
        <v>981</v>
      </c>
      <c r="G45" s="392">
        <f t="shared" si="33"/>
        <v>840.05</v>
      </c>
      <c r="H45" s="392">
        <v>800.04</v>
      </c>
      <c r="I45" s="392">
        <v>40.01</v>
      </c>
      <c r="J45" s="393"/>
      <c r="K45" s="392">
        <f t="shared" si="34"/>
        <v>840.05</v>
      </c>
      <c r="L45" s="392">
        <v>800.04</v>
      </c>
      <c r="M45" s="392">
        <v>40.01</v>
      </c>
      <c r="N45" s="15"/>
      <c r="O45" s="8" t="s">
        <v>924</v>
      </c>
      <c r="P45" s="15"/>
      <c r="R45" s="387">
        <f t="shared" si="12"/>
        <v>0</v>
      </c>
      <c r="S45" s="387">
        <f t="shared" si="25"/>
        <v>0</v>
      </c>
      <c r="T45" s="387">
        <f t="shared" si="26"/>
        <v>0</v>
      </c>
    </row>
    <row r="46" spans="1:24">
      <c r="A46" s="6" t="s">
        <v>551</v>
      </c>
      <c r="B46" s="332" t="s">
        <v>223</v>
      </c>
      <c r="C46" s="24"/>
      <c r="D46" s="23">
        <v>0</v>
      </c>
      <c r="E46" s="23"/>
      <c r="F46" s="23"/>
      <c r="G46" s="394">
        <f t="shared" ref="G46:M46" si="35">SUM(G47:G49)</f>
        <v>1170.5500000000002</v>
      </c>
      <c r="H46" s="394">
        <f t="shared" si="35"/>
        <v>1115.5500000000002</v>
      </c>
      <c r="I46" s="394">
        <f t="shared" si="35"/>
        <v>55</v>
      </c>
      <c r="J46" s="394">
        <f t="shared" si="35"/>
        <v>0</v>
      </c>
      <c r="K46" s="394">
        <f t="shared" si="35"/>
        <v>813.1</v>
      </c>
      <c r="L46" s="394">
        <f t="shared" si="35"/>
        <v>773.7</v>
      </c>
      <c r="M46" s="394">
        <f t="shared" si="35"/>
        <v>39.4</v>
      </c>
      <c r="N46" s="344">
        <f t="shared" ref="N46" si="36">SUM(N47:N49)</f>
        <v>0</v>
      </c>
      <c r="O46" s="345"/>
      <c r="P46" s="16"/>
      <c r="R46" s="387"/>
      <c r="S46" s="387"/>
      <c r="T46" s="387"/>
      <c r="V46" s="399">
        <f>+K46-K48</f>
        <v>540.70000000000005</v>
      </c>
      <c r="W46" s="399">
        <f t="shared" ref="W46:X46" si="37">+L46-L48</f>
        <v>515.70000000000005</v>
      </c>
      <c r="X46" s="399">
        <f t="shared" si="37"/>
        <v>25</v>
      </c>
    </row>
    <row r="47" spans="1:24" ht="59.25" customHeight="1">
      <c r="A47" s="8">
        <v>1</v>
      </c>
      <c r="B47" s="328" t="s">
        <v>224</v>
      </c>
      <c r="C47" s="8" t="s">
        <v>940</v>
      </c>
      <c r="D47" s="8" t="s">
        <v>226</v>
      </c>
      <c r="E47" s="21" t="s">
        <v>52</v>
      </c>
      <c r="F47" s="21"/>
      <c r="G47" s="392">
        <f t="shared" ref="G47:G49" si="38">H47+I47</f>
        <v>270.85000000000002</v>
      </c>
      <c r="H47" s="392">
        <v>257.85000000000002</v>
      </c>
      <c r="I47" s="392">
        <v>13</v>
      </c>
      <c r="J47" s="393"/>
      <c r="K47" s="392">
        <f t="shared" ref="K47:K49" si="39">L47+M47</f>
        <v>270.85000000000002</v>
      </c>
      <c r="L47" s="392">
        <v>257.85000000000002</v>
      </c>
      <c r="M47" s="392">
        <v>13</v>
      </c>
      <c r="N47" s="15"/>
      <c r="O47" s="8" t="s">
        <v>925</v>
      </c>
      <c r="P47" s="15"/>
      <c r="R47" s="387">
        <f t="shared" si="12"/>
        <v>0</v>
      </c>
      <c r="S47" s="387">
        <f t="shared" ref="S47:S49" si="40">+H47-L47</f>
        <v>0</v>
      </c>
      <c r="T47" s="387">
        <f t="shared" ref="T47:T49" si="41">+I47-M47</f>
        <v>0</v>
      </c>
      <c r="V47" s="399">
        <f>+G47+G49</f>
        <v>540.70000000000005</v>
      </c>
      <c r="W47" s="399">
        <f t="shared" ref="W47:X47" si="42">+H47+H49</f>
        <v>515.70000000000005</v>
      </c>
      <c r="X47" s="399">
        <f t="shared" si="42"/>
        <v>25</v>
      </c>
    </row>
    <row r="48" spans="1:24" ht="54" customHeight="1">
      <c r="A48" s="8">
        <v>2</v>
      </c>
      <c r="B48" s="376" t="s">
        <v>227</v>
      </c>
      <c r="C48" s="375" t="s">
        <v>941</v>
      </c>
      <c r="D48" s="375" t="s">
        <v>229</v>
      </c>
      <c r="E48" s="384" t="s">
        <v>916</v>
      </c>
      <c r="F48" s="384"/>
      <c r="G48" s="392">
        <f t="shared" si="38"/>
        <v>629.85</v>
      </c>
      <c r="H48" s="392">
        <v>599.85</v>
      </c>
      <c r="I48" s="392">
        <v>30</v>
      </c>
      <c r="J48" s="393"/>
      <c r="K48" s="392">
        <f t="shared" si="39"/>
        <v>272.39999999999998</v>
      </c>
      <c r="L48" s="392">
        <v>258</v>
      </c>
      <c r="M48" s="392">
        <v>14.4</v>
      </c>
      <c r="N48" s="373"/>
      <c r="O48" s="375" t="s">
        <v>928</v>
      </c>
      <c r="P48" s="373"/>
      <c r="R48" s="387">
        <f t="shared" si="12"/>
        <v>357.45000000000005</v>
      </c>
      <c r="S48" s="387">
        <f t="shared" si="40"/>
        <v>341.85</v>
      </c>
      <c r="T48" s="387">
        <f t="shared" si="41"/>
        <v>15.6</v>
      </c>
    </row>
    <row r="49" spans="1:20" ht="59.25" customHeight="1">
      <c r="A49" s="8">
        <v>3</v>
      </c>
      <c r="B49" s="328" t="s">
        <v>230</v>
      </c>
      <c r="C49" s="8" t="s">
        <v>942</v>
      </c>
      <c r="D49" s="8" t="s">
        <v>110</v>
      </c>
      <c r="E49" s="21" t="s">
        <v>52</v>
      </c>
      <c r="F49" s="21"/>
      <c r="G49" s="392">
        <f t="shared" si="38"/>
        <v>269.85000000000002</v>
      </c>
      <c r="H49" s="392">
        <v>257.85000000000002</v>
      </c>
      <c r="I49" s="392">
        <v>12</v>
      </c>
      <c r="J49" s="393"/>
      <c r="K49" s="392">
        <f t="shared" si="39"/>
        <v>269.85000000000002</v>
      </c>
      <c r="L49" s="392">
        <v>257.85000000000002</v>
      </c>
      <c r="M49" s="392">
        <v>12</v>
      </c>
      <c r="N49" s="15"/>
      <c r="O49" s="8" t="s">
        <v>925</v>
      </c>
      <c r="P49" s="15"/>
      <c r="R49" s="387">
        <f t="shared" si="12"/>
        <v>0</v>
      </c>
      <c r="S49" s="387">
        <f t="shared" si="40"/>
        <v>0</v>
      </c>
      <c r="T49" s="387">
        <f t="shared" si="41"/>
        <v>0</v>
      </c>
    </row>
    <row r="50" spans="1:20">
      <c r="A50" s="6" t="s">
        <v>552</v>
      </c>
      <c r="B50" s="326" t="s">
        <v>246</v>
      </c>
      <c r="C50" s="24"/>
      <c r="D50" s="23">
        <v>0</v>
      </c>
      <c r="E50" s="23"/>
      <c r="F50" s="23"/>
      <c r="G50" s="395">
        <f t="shared" ref="G50:M50" si="43">SUM(G51:G52)</f>
        <v>1890</v>
      </c>
      <c r="H50" s="395">
        <f t="shared" si="43"/>
        <v>1800</v>
      </c>
      <c r="I50" s="395">
        <f t="shared" si="43"/>
        <v>90</v>
      </c>
      <c r="J50" s="395">
        <f t="shared" si="43"/>
        <v>0</v>
      </c>
      <c r="K50" s="395">
        <f t="shared" si="43"/>
        <v>1822.1</v>
      </c>
      <c r="L50" s="395">
        <f t="shared" si="43"/>
        <v>1732.1</v>
      </c>
      <c r="M50" s="395">
        <f t="shared" si="43"/>
        <v>90</v>
      </c>
      <c r="N50" s="344">
        <f t="shared" ref="N50" si="44">SUM(N51:N53)</f>
        <v>0</v>
      </c>
      <c r="O50" s="129"/>
      <c r="P50" s="16"/>
      <c r="R50" s="387"/>
      <c r="S50" s="387"/>
      <c r="T50" s="387"/>
    </row>
    <row r="51" spans="1:20" ht="50.25" customHeight="1">
      <c r="A51" s="375">
        <v>1</v>
      </c>
      <c r="B51" s="385" t="s">
        <v>813</v>
      </c>
      <c r="C51" s="386" t="s">
        <v>964</v>
      </c>
      <c r="D51" s="386" t="s">
        <v>909</v>
      </c>
      <c r="E51" s="375" t="s">
        <v>916</v>
      </c>
      <c r="F51" s="375"/>
      <c r="G51" s="396">
        <f>H51+I51</f>
        <v>766.5</v>
      </c>
      <c r="H51" s="396">
        <v>730</v>
      </c>
      <c r="I51" s="396">
        <v>36.5</v>
      </c>
      <c r="J51" s="396"/>
      <c r="K51" s="396">
        <f>L51+M51</f>
        <v>698.6</v>
      </c>
      <c r="L51" s="396">
        <v>662.1</v>
      </c>
      <c r="M51" s="396">
        <v>36.5</v>
      </c>
      <c r="N51" s="375"/>
      <c r="O51" s="8" t="s">
        <v>926</v>
      </c>
      <c r="P51" s="375"/>
      <c r="R51" s="387">
        <f t="shared" si="12"/>
        <v>67.899999999999977</v>
      </c>
      <c r="S51" s="387">
        <f t="shared" ref="S51:S66" si="45">+H51-L51</f>
        <v>67.899999999999977</v>
      </c>
      <c r="T51" s="387">
        <f t="shared" ref="T51:T66" si="46">+I51-M51</f>
        <v>0</v>
      </c>
    </row>
    <row r="52" spans="1:20" ht="59.25" customHeight="1">
      <c r="A52" s="8">
        <v>3</v>
      </c>
      <c r="B52" s="349" t="s">
        <v>910</v>
      </c>
      <c r="C52" s="9" t="s">
        <v>963</v>
      </c>
      <c r="D52" s="9" t="s">
        <v>341</v>
      </c>
      <c r="E52" s="8" t="s">
        <v>52</v>
      </c>
      <c r="F52" s="8"/>
      <c r="G52" s="396">
        <f t="shared" ref="G52" si="47">H52+I52</f>
        <v>1123.5</v>
      </c>
      <c r="H52" s="396">
        <v>1070</v>
      </c>
      <c r="I52" s="396">
        <v>53.5</v>
      </c>
      <c r="J52" s="396"/>
      <c r="K52" s="396">
        <f>L52+M52</f>
        <v>1123.5</v>
      </c>
      <c r="L52" s="396">
        <v>1070</v>
      </c>
      <c r="M52" s="396">
        <v>53.5</v>
      </c>
      <c r="N52" s="8"/>
      <c r="O52" s="8" t="s">
        <v>926</v>
      </c>
      <c r="P52" s="8"/>
      <c r="R52" s="387">
        <f t="shared" si="12"/>
        <v>0</v>
      </c>
      <c r="S52" s="387">
        <f t="shared" si="45"/>
        <v>0</v>
      </c>
      <c r="T52" s="387">
        <f t="shared" si="46"/>
        <v>0</v>
      </c>
    </row>
    <row r="53" spans="1:20">
      <c r="A53" s="25" t="s">
        <v>709</v>
      </c>
      <c r="B53" s="335" t="s">
        <v>275</v>
      </c>
      <c r="C53" s="26"/>
      <c r="D53" s="23">
        <v>0</v>
      </c>
      <c r="E53" s="23"/>
      <c r="F53" s="23"/>
      <c r="G53" s="394">
        <f t="shared" ref="G53:M53" si="48">SUM(G54:G56)</f>
        <v>1820.8</v>
      </c>
      <c r="H53" s="394">
        <f t="shared" si="48"/>
        <v>1733.8</v>
      </c>
      <c r="I53" s="394">
        <f t="shared" si="48"/>
        <v>87</v>
      </c>
      <c r="J53" s="394">
        <f t="shared" si="48"/>
        <v>0</v>
      </c>
      <c r="K53" s="394">
        <f t="shared" si="48"/>
        <v>1820.8</v>
      </c>
      <c r="L53" s="394">
        <f t="shared" si="48"/>
        <v>1733.8</v>
      </c>
      <c r="M53" s="394">
        <f t="shared" si="48"/>
        <v>87</v>
      </c>
      <c r="N53" s="344">
        <f t="shared" ref="N53" si="49">SUM(N54:N56)</f>
        <v>0</v>
      </c>
      <c r="O53" s="345"/>
      <c r="P53" s="16"/>
      <c r="R53" s="387">
        <f t="shared" si="12"/>
        <v>0</v>
      </c>
      <c r="S53" s="387">
        <f t="shared" si="45"/>
        <v>0</v>
      </c>
      <c r="T53" s="387">
        <f t="shared" si="46"/>
        <v>0</v>
      </c>
    </row>
    <row r="54" spans="1:20" ht="77.25" customHeight="1">
      <c r="A54" s="27">
        <v>1</v>
      </c>
      <c r="B54" s="336" t="s">
        <v>276</v>
      </c>
      <c r="C54" s="27" t="s">
        <v>962</v>
      </c>
      <c r="D54" s="8" t="s">
        <v>278</v>
      </c>
      <c r="E54" s="27" t="s">
        <v>52</v>
      </c>
      <c r="F54" s="21" t="s">
        <v>984</v>
      </c>
      <c r="G54" s="392">
        <f t="shared" ref="G54:G56" si="50">H54+I54</f>
        <v>1316.8</v>
      </c>
      <c r="H54" s="392">
        <v>1253.8</v>
      </c>
      <c r="I54" s="392">
        <v>63</v>
      </c>
      <c r="J54" s="393">
        <v>0</v>
      </c>
      <c r="K54" s="392">
        <f t="shared" ref="K54:K56" si="51">L54+M54</f>
        <v>1316.8</v>
      </c>
      <c r="L54" s="392">
        <v>1253.8</v>
      </c>
      <c r="M54" s="392">
        <v>63</v>
      </c>
      <c r="N54" s="15"/>
      <c r="O54" s="8" t="s">
        <v>927</v>
      </c>
      <c r="P54" s="15"/>
      <c r="R54" s="387">
        <f t="shared" si="12"/>
        <v>0</v>
      </c>
      <c r="S54" s="387">
        <f t="shared" si="45"/>
        <v>0</v>
      </c>
      <c r="T54" s="387">
        <f t="shared" si="46"/>
        <v>0</v>
      </c>
    </row>
    <row r="55" spans="1:20" ht="77.25" customHeight="1">
      <c r="A55" s="27">
        <v>2</v>
      </c>
      <c r="B55" s="336" t="s">
        <v>279</v>
      </c>
      <c r="C55" s="27" t="s">
        <v>961</v>
      </c>
      <c r="D55" s="8" t="s">
        <v>281</v>
      </c>
      <c r="E55" s="27" t="s">
        <v>52</v>
      </c>
      <c r="F55" s="21" t="s">
        <v>983</v>
      </c>
      <c r="G55" s="392">
        <f t="shared" si="50"/>
        <v>420</v>
      </c>
      <c r="H55" s="392">
        <v>400</v>
      </c>
      <c r="I55" s="392">
        <v>20</v>
      </c>
      <c r="J55" s="393">
        <v>0</v>
      </c>
      <c r="K55" s="392">
        <f t="shared" si="51"/>
        <v>420</v>
      </c>
      <c r="L55" s="392">
        <v>400</v>
      </c>
      <c r="M55" s="392">
        <v>20</v>
      </c>
      <c r="N55" s="15"/>
      <c r="O55" s="8" t="s">
        <v>927</v>
      </c>
      <c r="P55" s="15"/>
      <c r="R55" s="387">
        <f t="shared" si="12"/>
        <v>0</v>
      </c>
      <c r="S55" s="387">
        <f t="shared" si="45"/>
        <v>0</v>
      </c>
      <c r="T55" s="387">
        <f t="shared" si="46"/>
        <v>0</v>
      </c>
    </row>
    <row r="56" spans="1:20" ht="77.25" customHeight="1">
      <c r="A56" s="27">
        <v>3</v>
      </c>
      <c r="B56" s="336" t="s">
        <v>282</v>
      </c>
      <c r="C56" s="27" t="s">
        <v>275</v>
      </c>
      <c r="D56" s="8" t="s">
        <v>283</v>
      </c>
      <c r="E56" s="27" t="s">
        <v>52</v>
      </c>
      <c r="F56" s="21" t="s">
        <v>982</v>
      </c>
      <c r="G56" s="392">
        <f t="shared" si="50"/>
        <v>84</v>
      </c>
      <c r="H56" s="392">
        <v>80</v>
      </c>
      <c r="I56" s="392">
        <v>4</v>
      </c>
      <c r="J56" s="393">
        <v>0</v>
      </c>
      <c r="K56" s="392">
        <f t="shared" si="51"/>
        <v>84</v>
      </c>
      <c r="L56" s="392">
        <v>80</v>
      </c>
      <c r="M56" s="392">
        <v>4</v>
      </c>
      <c r="N56" s="15"/>
      <c r="O56" s="8" t="s">
        <v>927</v>
      </c>
      <c r="P56" s="15"/>
      <c r="R56" s="387">
        <f t="shared" si="12"/>
        <v>0</v>
      </c>
      <c r="S56" s="387">
        <f t="shared" si="45"/>
        <v>0</v>
      </c>
      <c r="T56" s="387">
        <f t="shared" si="46"/>
        <v>0</v>
      </c>
    </row>
    <row r="57" spans="1:20">
      <c r="A57" s="6" t="s">
        <v>710</v>
      </c>
      <c r="B57" s="326" t="s">
        <v>303</v>
      </c>
      <c r="C57" s="24"/>
      <c r="D57" s="23">
        <v>0</v>
      </c>
      <c r="E57" s="23"/>
      <c r="F57" s="23"/>
      <c r="G57" s="394">
        <f t="shared" ref="G57:M57" si="52">SUM(G58:G58)</f>
        <v>1996.05</v>
      </c>
      <c r="H57" s="394">
        <f t="shared" si="52"/>
        <v>1901</v>
      </c>
      <c r="I57" s="394">
        <f t="shared" si="52"/>
        <v>95.05</v>
      </c>
      <c r="J57" s="394">
        <f t="shared" si="52"/>
        <v>0</v>
      </c>
      <c r="K57" s="394">
        <f t="shared" si="52"/>
        <v>1996.05</v>
      </c>
      <c r="L57" s="394">
        <f t="shared" si="52"/>
        <v>1901</v>
      </c>
      <c r="M57" s="394">
        <f t="shared" si="52"/>
        <v>95.05</v>
      </c>
      <c r="N57" s="344">
        <f t="shared" ref="N57" si="53">SUM(N58:N60)</f>
        <v>0</v>
      </c>
      <c r="O57" s="345"/>
      <c r="P57" s="347"/>
      <c r="R57" s="387">
        <f t="shared" si="12"/>
        <v>0</v>
      </c>
      <c r="S57" s="387">
        <f t="shared" si="45"/>
        <v>0</v>
      </c>
      <c r="T57" s="387">
        <f t="shared" si="46"/>
        <v>0</v>
      </c>
    </row>
    <row r="58" spans="1:20" ht="60">
      <c r="A58" s="8">
        <v>1</v>
      </c>
      <c r="B58" s="328" t="s">
        <v>304</v>
      </c>
      <c r="C58" s="8" t="s">
        <v>303</v>
      </c>
      <c r="D58" s="8" t="s">
        <v>305</v>
      </c>
      <c r="E58" s="27" t="s">
        <v>52</v>
      </c>
      <c r="F58" s="27"/>
      <c r="G58" s="392">
        <f t="shared" ref="G58" si="54">H58+I58</f>
        <v>1996.05</v>
      </c>
      <c r="H58" s="392">
        <v>1901</v>
      </c>
      <c r="I58" s="392">
        <v>95.05</v>
      </c>
      <c r="J58" s="393">
        <v>0</v>
      </c>
      <c r="K58" s="392">
        <f t="shared" ref="K58" si="55">L58+M58</f>
        <v>1996.05</v>
      </c>
      <c r="L58" s="392">
        <v>1901</v>
      </c>
      <c r="M58" s="392">
        <v>95.05</v>
      </c>
      <c r="N58" s="15"/>
      <c r="O58" s="375" t="s">
        <v>928</v>
      </c>
      <c r="P58" s="15"/>
      <c r="R58" s="387">
        <f t="shared" si="12"/>
        <v>0</v>
      </c>
      <c r="S58" s="387">
        <f t="shared" si="45"/>
        <v>0</v>
      </c>
      <c r="T58" s="387">
        <f t="shared" si="46"/>
        <v>0</v>
      </c>
    </row>
    <row r="59" spans="1:20">
      <c r="A59" s="6" t="s">
        <v>711</v>
      </c>
      <c r="B59" s="326" t="s">
        <v>328</v>
      </c>
      <c r="C59" s="24"/>
      <c r="D59" s="23">
        <v>0</v>
      </c>
      <c r="E59" s="23"/>
      <c r="F59" s="23"/>
      <c r="G59" s="394">
        <f t="shared" ref="G59:M59" si="56">SUM(G60:G61)</f>
        <v>1824.67</v>
      </c>
      <c r="H59" s="394">
        <f t="shared" si="56"/>
        <v>1737.67</v>
      </c>
      <c r="I59" s="394">
        <f t="shared" si="56"/>
        <v>87</v>
      </c>
      <c r="J59" s="394">
        <f t="shared" si="56"/>
        <v>0</v>
      </c>
      <c r="K59" s="394">
        <f t="shared" si="56"/>
        <v>1824.67</v>
      </c>
      <c r="L59" s="394">
        <f t="shared" si="56"/>
        <v>1737.67</v>
      </c>
      <c r="M59" s="394">
        <f t="shared" si="56"/>
        <v>87</v>
      </c>
      <c r="N59" s="344">
        <f t="shared" ref="N59" si="57">SUM(N60:N62)</f>
        <v>0</v>
      </c>
      <c r="O59" s="345"/>
      <c r="P59" s="347"/>
      <c r="R59" s="387">
        <f t="shared" si="12"/>
        <v>0</v>
      </c>
      <c r="S59" s="387">
        <f t="shared" si="45"/>
        <v>0</v>
      </c>
      <c r="T59" s="387">
        <f t="shared" si="46"/>
        <v>0</v>
      </c>
    </row>
    <row r="60" spans="1:20" ht="57.75" customHeight="1">
      <c r="A60" s="8">
        <v>1</v>
      </c>
      <c r="B60" s="328" t="s">
        <v>929</v>
      </c>
      <c r="C60" s="8" t="s">
        <v>960</v>
      </c>
      <c r="D60" s="8" t="s">
        <v>128</v>
      </c>
      <c r="E60" s="27" t="s">
        <v>52</v>
      </c>
      <c r="F60" s="27"/>
      <c r="G60" s="392">
        <f t="shared" ref="G60:G61" si="58">H60+I60</f>
        <v>1050</v>
      </c>
      <c r="H60" s="392">
        <v>1000</v>
      </c>
      <c r="I60" s="392">
        <v>50</v>
      </c>
      <c r="J60" s="393">
        <v>0</v>
      </c>
      <c r="K60" s="392">
        <f t="shared" ref="K60:K61" si="59">L60+M60</f>
        <v>1050</v>
      </c>
      <c r="L60" s="392">
        <v>1000</v>
      </c>
      <c r="M60" s="392">
        <v>50</v>
      </c>
      <c r="N60" s="15"/>
      <c r="O60" s="8" t="s">
        <v>930</v>
      </c>
      <c r="P60" s="15"/>
      <c r="R60" s="387">
        <f t="shared" si="12"/>
        <v>0</v>
      </c>
      <c r="S60" s="387">
        <f t="shared" si="45"/>
        <v>0</v>
      </c>
      <c r="T60" s="387">
        <f t="shared" si="46"/>
        <v>0</v>
      </c>
    </row>
    <row r="61" spans="1:20" ht="57.75" customHeight="1">
      <c r="A61" s="8">
        <v>2</v>
      </c>
      <c r="B61" s="328" t="s">
        <v>331</v>
      </c>
      <c r="C61" s="8" t="s">
        <v>959</v>
      </c>
      <c r="D61" s="8" t="s">
        <v>128</v>
      </c>
      <c r="E61" s="27" t="s">
        <v>52</v>
      </c>
      <c r="F61" s="27"/>
      <c r="G61" s="392">
        <f t="shared" si="58"/>
        <v>774.67</v>
      </c>
      <c r="H61" s="392">
        <v>737.67</v>
      </c>
      <c r="I61" s="392">
        <v>37</v>
      </c>
      <c r="J61" s="393">
        <v>0</v>
      </c>
      <c r="K61" s="392">
        <f t="shared" si="59"/>
        <v>774.67</v>
      </c>
      <c r="L61" s="392">
        <v>737.67</v>
      </c>
      <c r="M61" s="392">
        <v>37</v>
      </c>
      <c r="N61" s="15"/>
      <c r="O61" s="8" t="s">
        <v>930</v>
      </c>
      <c r="P61" s="15"/>
      <c r="R61" s="387">
        <f t="shared" si="12"/>
        <v>0</v>
      </c>
      <c r="S61" s="387">
        <f t="shared" si="45"/>
        <v>0</v>
      </c>
      <c r="T61" s="387">
        <f t="shared" si="46"/>
        <v>0</v>
      </c>
    </row>
    <row r="62" spans="1:20">
      <c r="A62" s="6" t="s">
        <v>712</v>
      </c>
      <c r="B62" s="326" t="s">
        <v>359</v>
      </c>
      <c r="C62" s="24"/>
      <c r="D62" s="23">
        <v>0</v>
      </c>
      <c r="E62" s="23"/>
      <c r="F62" s="23"/>
      <c r="G62" s="394">
        <f t="shared" ref="G62:M62" si="60">SUM(G63:G66)</f>
        <v>1997.25</v>
      </c>
      <c r="H62" s="394">
        <f t="shared" si="60"/>
        <v>1902.25</v>
      </c>
      <c r="I62" s="394">
        <f t="shared" si="60"/>
        <v>95</v>
      </c>
      <c r="J62" s="394">
        <f t="shared" si="60"/>
        <v>0</v>
      </c>
      <c r="K62" s="394">
        <f t="shared" si="60"/>
        <v>1997.25</v>
      </c>
      <c r="L62" s="394">
        <f t="shared" si="60"/>
        <v>1902.25</v>
      </c>
      <c r="M62" s="394">
        <f t="shared" si="60"/>
        <v>95</v>
      </c>
      <c r="N62" s="344">
        <f t="shared" ref="N62" si="61">SUM(N63:N65)</f>
        <v>0</v>
      </c>
      <c r="O62" s="345"/>
      <c r="P62" s="347"/>
      <c r="R62" s="387">
        <f t="shared" si="12"/>
        <v>0</v>
      </c>
      <c r="S62" s="387">
        <f t="shared" si="45"/>
        <v>0</v>
      </c>
      <c r="T62" s="387">
        <f t="shared" si="46"/>
        <v>0</v>
      </c>
    </row>
    <row r="63" spans="1:20" ht="49.5" customHeight="1">
      <c r="A63" s="8">
        <v>1</v>
      </c>
      <c r="B63" s="328" t="s">
        <v>360</v>
      </c>
      <c r="C63" s="8" t="s">
        <v>958</v>
      </c>
      <c r="D63" s="8" t="s">
        <v>326</v>
      </c>
      <c r="E63" s="27" t="s">
        <v>52</v>
      </c>
      <c r="F63" s="27"/>
      <c r="G63" s="392">
        <f t="shared" ref="G63:G66" si="62">H63+I63</f>
        <v>737.25</v>
      </c>
      <c r="H63" s="392">
        <v>702.25</v>
      </c>
      <c r="I63" s="392">
        <v>35</v>
      </c>
      <c r="J63" s="393">
        <v>0</v>
      </c>
      <c r="K63" s="392">
        <f t="shared" ref="K63:K66" si="63">L63+M63</f>
        <v>737.25</v>
      </c>
      <c r="L63" s="392">
        <v>702.25</v>
      </c>
      <c r="M63" s="392">
        <v>35</v>
      </c>
      <c r="N63" s="15"/>
      <c r="O63" s="8" t="s">
        <v>931</v>
      </c>
      <c r="P63" s="15"/>
      <c r="R63" s="387">
        <f t="shared" si="12"/>
        <v>0</v>
      </c>
      <c r="S63" s="387">
        <f t="shared" si="45"/>
        <v>0</v>
      </c>
      <c r="T63" s="387">
        <f t="shared" si="46"/>
        <v>0</v>
      </c>
    </row>
    <row r="64" spans="1:20" ht="49.5" customHeight="1">
      <c r="A64" s="8">
        <v>2</v>
      </c>
      <c r="B64" s="328" t="s">
        <v>362</v>
      </c>
      <c r="C64" s="8" t="s">
        <v>957</v>
      </c>
      <c r="D64" s="8" t="s">
        <v>94</v>
      </c>
      <c r="E64" s="27" t="s">
        <v>52</v>
      </c>
      <c r="F64" s="27"/>
      <c r="G64" s="392">
        <f t="shared" si="62"/>
        <v>420</v>
      </c>
      <c r="H64" s="392">
        <v>400</v>
      </c>
      <c r="I64" s="392">
        <v>20</v>
      </c>
      <c r="J64" s="393">
        <v>0</v>
      </c>
      <c r="K64" s="392">
        <f t="shared" si="63"/>
        <v>420</v>
      </c>
      <c r="L64" s="392">
        <v>400</v>
      </c>
      <c r="M64" s="392">
        <v>20</v>
      </c>
      <c r="N64" s="15"/>
      <c r="O64" s="8" t="s">
        <v>931</v>
      </c>
      <c r="P64" s="15"/>
      <c r="R64" s="387">
        <f t="shared" si="12"/>
        <v>0</v>
      </c>
      <c r="S64" s="387">
        <f t="shared" si="45"/>
        <v>0</v>
      </c>
      <c r="T64" s="387">
        <f t="shared" si="46"/>
        <v>0</v>
      </c>
    </row>
    <row r="65" spans="1:24" ht="49.5" customHeight="1">
      <c r="A65" s="8">
        <v>3</v>
      </c>
      <c r="B65" s="328" t="s">
        <v>364</v>
      </c>
      <c r="C65" s="8" t="s">
        <v>956</v>
      </c>
      <c r="D65" s="8" t="s">
        <v>94</v>
      </c>
      <c r="E65" s="27" t="s">
        <v>52</v>
      </c>
      <c r="F65" s="27"/>
      <c r="G65" s="392">
        <f t="shared" si="62"/>
        <v>420</v>
      </c>
      <c r="H65" s="392">
        <v>400</v>
      </c>
      <c r="I65" s="392">
        <v>20</v>
      </c>
      <c r="J65" s="393">
        <v>0</v>
      </c>
      <c r="K65" s="392">
        <f t="shared" si="63"/>
        <v>420</v>
      </c>
      <c r="L65" s="392">
        <v>400</v>
      </c>
      <c r="M65" s="392">
        <v>20</v>
      </c>
      <c r="N65" s="15"/>
      <c r="O65" s="8" t="s">
        <v>931</v>
      </c>
      <c r="P65" s="15"/>
      <c r="R65" s="387">
        <f t="shared" si="12"/>
        <v>0</v>
      </c>
      <c r="S65" s="387">
        <f t="shared" si="45"/>
        <v>0</v>
      </c>
      <c r="T65" s="387">
        <f t="shared" si="46"/>
        <v>0</v>
      </c>
    </row>
    <row r="66" spans="1:24" ht="49.5" customHeight="1">
      <c r="A66" s="8">
        <v>4</v>
      </c>
      <c r="B66" s="328" t="s">
        <v>366</v>
      </c>
      <c r="C66" s="8" t="s">
        <v>955</v>
      </c>
      <c r="D66" s="8" t="s">
        <v>94</v>
      </c>
      <c r="E66" s="27" t="s">
        <v>52</v>
      </c>
      <c r="F66" s="27"/>
      <c r="G66" s="392">
        <f t="shared" si="62"/>
        <v>420</v>
      </c>
      <c r="H66" s="392">
        <v>400</v>
      </c>
      <c r="I66" s="392">
        <v>20</v>
      </c>
      <c r="J66" s="393">
        <v>0</v>
      </c>
      <c r="K66" s="392">
        <f t="shared" si="63"/>
        <v>420</v>
      </c>
      <c r="L66" s="392">
        <v>400</v>
      </c>
      <c r="M66" s="392">
        <v>20</v>
      </c>
      <c r="N66" s="15"/>
      <c r="O66" s="8" t="s">
        <v>931</v>
      </c>
      <c r="P66" s="15"/>
      <c r="R66" s="387">
        <f t="shared" si="12"/>
        <v>0</v>
      </c>
      <c r="S66" s="387">
        <f t="shared" si="45"/>
        <v>0</v>
      </c>
      <c r="T66" s="387">
        <f t="shared" si="46"/>
        <v>0</v>
      </c>
    </row>
    <row r="67" spans="1:24">
      <c r="A67" s="6" t="s">
        <v>713</v>
      </c>
      <c r="B67" s="326" t="s">
        <v>393</v>
      </c>
      <c r="C67" s="24"/>
      <c r="D67" s="23">
        <v>0</v>
      </c>
      <c r="E67" s="23"/>
      <c r="F67" s="23"/>
      <c r="G67" s="394">
        <f t="shared" ref="G67:M67" si="64">SUM(G68:G70)</f>
        <v>2147</v>
      </c>
      <c r="H67" s="394">
        <f t="shared" si="64"/>
        <v>2045</v>
      </c>
      <c r="I67" s="394">
        <f t="shared" si="64"/>
        <v>102</v>
      </c>
      <c r="J67" s="394">
        <f t="shared" si="64"/>
        <v>0</v>
      </c>
      <c r="K67" s="394">
        <f t="shared" si="64"/>
        <v>1816.75</v>
      </c>
      <c r="L67" s="394">
        <f t="shared" si="64"/>
        <v>1733.75</v>
      </c>
      <c r="M67" s="394">
        <f t="shared" si="64"/>
        <v>83</v>
      </c>
      <c r="N67" s="344">
        <f t="shared" ref="N67" si="65">SUM(N68:N70)</f>
        <v>0</v>
      </c>
      <c r="O67" s="345"/>
      <c r="P67" s="347"/>
      <c r="R67" s="387"/>
      <c r="S67" s="387"/>
      <c r="T67" s="387"/>
    </row>
    <row r="68" spans="1:24" ht="38.25" customHeight="1">
      <c r="A68" s="8">
        <v>1</v>
      </c>
      <c r="B68" s="340" t="s">
        <v>394</v>
      </c>
      <c r="C68" s="28" t="s">
        <v>954</v>
      </c>
      <c r="D68" s="8" t="s">
        <v>396</v>
      </c>
      <c r="E68" s="27" t="s">
        <v>52</v>
      </c>
      <c r="F68" s="27"/>
      <c r="G68" s="392">
        <f t="shared" ref="G68:G70" si="66">H68+I68</f>
        <v>1047</v>
      </c>
      <c r="H68" s="392">
        <v>997</v>
      </c>
      <c r="I68" s="392">
        <v>50</v>
      </c>
      <c r="J68" s="393">
        <v>0</v>
      </c>
      <c r="K68" s="392">
        <f t="shared" ref="K68:K70" si="67">L68+M68</f>
        <v>1047</v>
      </c>
      <c r="L68" s="392">
        <v>997</v>
      </c>
      <c r="M68" s="392">
        <v>50</v>
      </c>
      <c r="N68" s="15"/>
      <c r="O68" s="375" t="s">
        <v>928</v>
      </c>
      <c r="P68" s="15"/>
      <c r="R68" s="387">
        <f t="shared" si="12"/>
        <v>0</v>
      </c>
      <c r="S68" s="387">
        <f t="shared" ref="S68:S84" si="68">+H68-L68</f>
        <v>0</v>
      </c>
      <c r="T68" s="387">
        <f t="shared" ref="T68:T84" si="69">+I68-M68</f>
        <v>0</v>
      </c>
    </row>
    <row r="69" spans="1:24" ht="48.75" customHeight="1">
      <c r="A69" s="8">
        <v>2</v>
      </c>
      <c r="B69" s="340" t="s">
        <v>397</v>
      </c>
      <c r="C69" s="28" t="s">
        <v>953</v>
      </c>
      <c r="D69" s="22" t="s">
        <v>399</v>
      </c>
      <c r="E69" s="27" t="s">
        <v>52</v>
      </c>
      <c r="F69" s="27"/>
      <c r="G69" s="392">
        <f t="shared" si="66"/>
        <v>701</v>
      </c>
      <c r="H69" s="392">
        <v>668</v>
      </c>
      <c r="I69" s="392">
        <v>33</v>
      </c>
      <c r="J69" s="393">
        <v>0</v>
      </c>
      <c r="K69" s="392">
        <f t="shared" si="67"/>
        <v>701</v>
      </c>
      <c r="L69" s="392">
        <v>668</v>
      </c>
      <c r="M69" s="392">
        <v>33</v>
      </c>
      <c r="N69" s="15"/>
      <c r="O69" s="375" t="s">
        <v>928</v>
      </c>
      <c r="P69" s="15"/>
      <c r="R69" s="387">
        <f t="shared" si="12"/>
        <v>0</v>
      </c>
      <c r="S69" s="387">
        <f t="shared" si="68"/>
        <v>0</v>
      </c>
      <c r="T69" s="387">
        <f t="shared" si="69"/>
        <v>0</v>
      </c>
      <c r="V69" s="399">
        <f>+K22+K23+K48+K58+K68+K69+K70+K74</f>
        <v>6023.61</v>
      </c>
      <c r="W69" s="399">
        <f t="shared" ref="W69:X69" si="70">+L22+L23+L48+L58+L68+L69+L70+L74</f>
        <v>5738.85</v>
      </c>
      <c r="X69" s="399">
        <f t="shared" si="70"/>
        <v>284.76</v>
      </c>
    </row>
    <row r="70" spans="1:24" ht="48.75" customHeight="1">
      <c r="A70" s="375">
        <v>3</v>
      </c>
      <c r="B70" s="363" t="s">
        <v>400</v>
      </c>
      <c r="C70" s="389" t="s">
        <v>952</v>
      </c>
      <c r="D70" s="375" t="s">
        <v>402</v>
      </c>
      <c r="E70" s="377" t="s">
        <v>916</v>
      </c>
      <c r="F70" s="377"/>
      <c r="G70" s="397">
        <f t="shared" si="66"/>
        <v>399</v>
      </c>
      <c r="H70" s="397">
        <v>380</v>
      </c>
      <c r="I70" s="397">
        <v>19</v>
      </c>
      <c r="J70" s="398">
        <v>0</v>
      </c>
      <c r="K70" s="397">
        <f t="shared" si="67"/>
        <v>68.75</v>
      </c>
      <c r="L70" s="397">
        <v>68.75</v>
      </c>
      <c r="M70" s="397">
        <v>0</v>
      </c>
      <c r="N70" s="373"/>
      <c r="O70" s="375" t="s">
        <v>928</v>
      </c>
      <c r="P70" s="373"/>
      <c r="R70" s="387">
        <f t="shared" si="12"/>
        <v>330.25</v>
      </c>
      <c r="S70" s="387">
        <f t="shared" si="68"/>
        <v>311.25</v>
      </c>
      <c r="T70" s="387">
        <f t="shared" si="69"/>
        <v>19</v>
      </c>
    </row>
    <row r="71" spans="1:24">
      <c r="A71" s="6" t="s">
        <v>714</v>
      </c>
      <c r="B71" s="339" t="s">
        <v>434</v>
      </c>
      <c r="C71" s="24"/>
      <c r="D71" s="23">
        <v>0</v>
      </c>
      <c r="E71" s="23"/>
      <c r="F71" s="23"/>
      <c r="G71" s="394">
        <f t="shared" ref="G71:M71" si="71">SUM(G72:G72)</f>
        <v>270.74</v>
      </c>
      <c r="H71" s="394">
        <f t="shared" si="71"/>
        <v>257.85000000000002</v>
      </c>
      <c r="I71" s="394">
        <f t="shared" si="71"/>
        <v>12.89</v>
      </c>
      <c r="J71" s="394">
        <f t="shared" si="71"/>
        <v>0</v>
      </c>
      <c r="K71" s="394">
        <f t="shared" si="71"/>
        <v>270.74</v>
      </c>
      <c r="L71" s="394">
        <f t="shared" si="71"/>
        <v>257.85000000000002</v>
      </c>
      <c r="M71" s="394">
        <f t="shared" si="71"/>
        <v>12.89</v>
      </c>
      <c r="N71" s="344">
        <f t="shared" ref="N71" si="72">SUM(N72:N74)</f>
        <v>0</v>
      </c>
      <c r="O71" s="345"/>
      <c r="P71" s="16"/>
      <c r="R71" s="387">
        <f t="shared" si="12"/>
        <v>0</v>
      </c>
      <c r="S71" s="387">
        <f t="shared" si="68"/>
        <v>0</v>
      </c>
      <c r="T71" s="387">
        <f t="shared" si="69"/>
        <v>0</v>
      </c>
    </row>
    <row r="72" spans="1:24" ht="48.75" customHeight="1">
      <c r="A72" s="8">
        <v>1</v>
      </c>
      <c r="B72" s="328" t="s">
        <v>435</v>
      </c>
      <c r="C72" s="8" t="s">
        <v>951</v>
      </c>
      <c r="D72" s="8" t="s">
        <v>437</v>
      </c>
      <c r="E72" s="27" t="s">
        <v>52</v>
      </c>
      <c r="F72" s="27"/>
      <c r="G72" s="392">
        <f t="shared" ref="G72" si="73">H72+I72</f>
        <v>270.74</v>
      </c>
      <c r="H72" s="392">
        <v>257.85000000000002</v>
      </c>
      <c r="I72" s="392">
        <v>12.89</v>
      </c>
      <c r="J72" s="393">
        <v>0</v>
      </c>
      <c r="K72" s="392">
        <f t="shared" ref="K72" si="74">L72+M72</f>
        <v>270.74</v>
      </c>
      <c r="L72" s="392">
        <v>257.85000000000002</v>
      </c>
      <c r="M72" s="392">
        <v>12.89</v>
      </c>
      <c r="N72" s="15"/>
      <c r="O72" s="8" t="s">
        <v>932</v>
      </c>
      <c r="P72" s="15"/>
      <c r="R72" s="387">
        <f t="shared" si="12"/>
        <v>0</v>
      </c>
      <c r="S72" s="387">
        <f t="shared" si="68"/>
        <v>0</v>
      </c>
      <c r="T72" s="387">
        <f t="shared" si="69"/>
        <v>0</v>
      </c>
    </row>
    <row r="73" spans="1:24">
      <c r="A73" s="6" t="s">
        <v>767</v>
      </c>
      <c r="B73" s="326" t="s">
        <v>443</v>
      </c>
      <c r="C73" s="6"/>
      <c r="D73" s="23">
        <v>0</v>
      </c>
      <c r="E73" s="23"/>
      <c r="F73" s="23"/>
      <c r="G73" s="394">
        <f t="shared" ref="G73:M73" si="75">SUM(G74:G75)</f>
        <v>1816.87</v>
      </c>
      <c r="H73" s="394">
        <f t="shared" si="75"/>
        <v>1730.35</v>
      </c>
      <c r="I73" s="394">
        <f t="shared" si="75"/>
        <v>86.52</v>
      </c>
      <c r="J73" s="394">
        <f t="shared" si="75"/>
        <v>0</v>
      </c>
      <c r="K73" s="394">
        <f t="shared" si="75"/>
        <v>1816.87</v>
      </c>
      <c r="L73" s="394">
        <f t="shared" si="75"/>
        <v>1730.35</v>
      </c>
      <c r="M73" s="394">
        <f t="shared" si="75"/>
        <v>86.52</v>
      </c>
      <c r="N73" s="344">
        <f t="shared" ref="N73" si="76">SUM(N74:N76)</f>
        <v>0</v>
      </c>
      <c r="O73" s="345"/>
      <c r="P73" s="347"/>
      <c r="R73" s="387">
        <f t="shared" si="12"/>
        <v>0</v>
      </c>
      <c r="S73" s="387">
        <f t="shared" si="68"/>
        <v>0</v>
      </c>
      <c r="T73" s="387">
        <f t="shared" si="69"/>
        <v>0</v>
      </c>
    </row>
    <row r="74" spans="1:24" ht="51" customHeight="1">
      <c r="A74" s="375">
        <v>1</v>
      </c>
      <c r="B74" s="376" t="s">
        <v>444</v>
      </c>
      <c r="C74" s="375" t="s">
        <v>950</v>
      </c>
      <c r="D74" s="400" t="s">
        <v>446</v>
      </c>
      <c r="E74" s="375" t="s">
        <v>52</v>
      </c>
      <c r="F74" s="375"/>
      <c r="G74" s="397">
        <f t="shared" ref="G74:G75" si="77">H74+I74</f>
        <v>1396.87</v>
      </c>
      <c r="H74" s="397">
        <v>1330.35</v>
      </c>
      <c r="I74" s="397">
        <v>66.52</v>
      </c>
      <c r="J74" s="398">
        <v>0</v>
      </c>
      <c r="K74" s="397">
        <f t="shared" ref="K74:K75" si="78">L74+M74</f>
        <v>1396.87</v>
      </c>
      <c r="L74" s="397">
        <v>1330.35</v>
      </c>
      <c r="M74" s="397">
        <v>66.52</v>
      </c>
      <c r="N74" s="373"/>
      <c r="O74" s="375" t="s">
        <v>928</v>
      </c>
      <c r="P74" s="15"/>
      <c r="R74" s="387">
        <f t="shared" si="12"/>
        <v>0</v>
      </c>
      <c r="S74" s="387">
        <f t="shared" si="68"/>
        <v>0</v>
      </c>
      <c r="T74" s="387">
        <f t="shared" si="69"/>
        <v>0</v>
      </c>
    </row>
    <row r="75" spans="1:24" ht="51" customHeight="1">
      <c r="A75" s="8">
        <v>2</v>
      </c>
      <c r="B75" s="328" t="s">
        <v>447</v>
      </c>
      <c r="C75" s="8" t="s">
        <v>950</v>
      </c>
      <c r="D75" s="8" t="s">
        <v>94</v>
      </c>
      <c r="E75" s="8" t="s">
        <v>52</v>
      </c>
      <c r="F75" s="8"/>
      <c r="G75" s="392">
        <f t="shared" si="77"/>
        <v>420</v>
      </c>
      <c r="H75" s="392">
        <v>400</v>
      </c>
      <c r="I75" s="392">
        <v>20</v>
      </c>
      <c r="J75" s="393">
        <v>0</v>
      </c>
      <c r="K75" s="392">
        <f t="shared" si="78"/>
        <v>420</v>
      </c>
      <c r="L75" s="392">
        <v>400</v>
      </c>
      <c r="M75" s="392">
        <v>20</v>
      </c>
      <c r="N75" s="15"/>
      <c r="O75" s="8" t="s">
        <v>933</v>
      </c>
      <c r="P75" s="15"/>
      <c r="R75" s="387">
        <f t="shared" si="12"/>
        <v>0</v>
      </c>
      <c r="S75" s="387">
        <f t="shared" si="68"/>
        <v>0</v>
      </c>
      <c r="T75" s="387">
        <f t="shared" si="69"/>
        <v>0</v>
      </c>
    </row>
    <row r="76" spans="1:24">
      <c r="A76" s="20" t="s">
        <v>771</v>
      </c>
      <c r="B76" s="342" t="s">
        <v>472</v>
      </c>
      <c r="C76" s="24"/>
      <c r="D76" s="23">
        <v>0</v>
      </c>
      <c r="E76" s="23"/>
      <c r="F76" s="23"/>
      <c r="G76" s="394">
        <f t="shared" ref="G76:M76" si="79">SUM(G77:G77)</f>
        <v>1817.46</v>
      </c>
      <c r="H76" s="394">
        <f t="shared" si="79"/>
        <v>1730.91</v>
      </c>
      <c r="I76" s="394">
        <f t="shared" si="79"/>
        <v>86.55</v>
      </c>
      <c r="J76" s="394">
        <f t="shared" si="79"/>
        <v>0</v>
      </c>
      <c r="K76" s="394">
        <f t="shared" si="79"/>
        <v>1817.46</v>
      </c>
      <c r="L76" s="394">
        <f t="shared" si="79"/>
        <v>1730.91</v>
      </c>
      <c r="M76" s="394">
        <f t="shared" si="79"/>
        <v>86.55</v>
      </c>
      <c r="N76" s="344">
        <f t="shared" ref="N76" si="80">SUM(N77:N79)</f>
        <v>0</v>
      </c>
      <c r="O76" s="345"/>
      <c r="P76" s="347"/>
      <c r="R76" s="387">
        <f t="shared" si="12"/>
        <v>0</v>
      </c>
      <c r="S76" s="387">
        <f t="shared" si="68"/>
        <v>0</v>
      </c>
      <c r="T76" s="387">
        <f t="shared" si="69"/>
        <v>0</v>
      </c>
    </row>
    <row r="77" spans="1:24" ht="53.25" customHeight="1">
      <c r="A77" s="19">
        <v>1</v>
      </c>
      <c r="B77" s="343" t="s">
        <v>473</v>
      </c>
      <c r="C77" s="19" t="s">
        <v>949</v>
      </c>
      <c r="D77" s="8" t="s">
        <v>475</v>
      </c>
      <c r="E77" s="8" t="s">
        <v>52</v>
      </c>
      <c r="F77" s="8"/>
      <c r="G77" s="392">
        <f t="shared" ref="G77" si="81">H77+I77</f>
        <v>1817.46</v>
      </c>
      <c r="H77" s="392">
        <v>1730.91</v>
      </c>
      <c r="I77" s="392">
        <v>86.55</v>
      </c>
      <c r="J77" s="393">
        <v>0</v>
      </c>
      <c r="K77" s="392">
        <f t="shared" ref="K77" si="82">L77+M77</f>
        <v>1817.46</v>
      </c>
      <c r="L77" s="392">
        <v>1730.91</v>
      </c>
      <c r="M77" s="392">
        <v>86.55</v>
      </c>
      <c r="N77" s="15"/>
      <c r="O77" s="8" t="s">
        <v>934</v>
      </c>
      <c r="P77" s="15"/>
      <c r="R77" s="387">
        <f t="shared" si="12"/>
        <v>0</v>
      </c>
      <c r="S77" s="387">
        <f t="shared" si="68"/>
        <v>0</v>
      </c>
      <c r="T77" s="387">
        <f t="shared" si="69"/>
        <v>0</v>
      </c>
    </row>
    <row r="78" spans="1:24" ht="30">
      <c r="A78" s="6" t="s">
        <v>936</v>
      </c>
      <c r="B78" s="326" t="s">
        <v>500</v>
      </c>
      <c r="C78" s="24"/>
      <c r="D78" s="23">
        <v>0</v>
      </c>
      <c r="E78" s="23"/>
      <c r="F78" s="23"/>
      <c r="G78" s="394">
        <f t="shared" ref="G78:M78" si="83">SUM(G79:G84)</f>
        <v>1995</v>
      </c>
      <c r="H78" s="394">
        <f t="shared" si="83"/>
        <v>1901</v>
      </c>
      <c r="I78" s="394">
        <f t="shared" si="83"/>
        <v>94</v>
      </c>
      <c r="J78" s="394">
        <f t="shared" si="83"/>
        <v>0</v>
      </c>
      <c r="K78" s="394">
        <f t="shared" si="83"/>
        <v>1995</v>
      </c>
      <c r="L78" s="394">
        <f t="shared" si="83"/>
        <v>1901</v>
      </c>
      <c r="M78" s="394">
        <f t="shared" si="83"/>
        <v>94</v>
      </c>
      <c r="N78" s="344">
        <f t="shared" ref="N78" si="84">SUM(N79:N81)</f>
        <v>0</v>
      </c>
      <c r="O78" s="345"/>
      <c r="P78" s="347"/>
      <c r="R78" s="387">
        <f t="shared" si="12"/>
        <v>0</v>
      </c>
      <c r="S78" s="387">
        <f t="shared" si="68"/>
        <v>0</v>
      </c>
      <c r="T78" s="387">
        <f t="shared" si="69"/>
        <v>0</v>
      </c>
    </row>
    <row r="79" spans="1:24" ht="47.25" customHeight="1">
      <c r="A79" s="8">
        <v>1</v>
      </c>
      <c r="B79" s="328" t="s">
        <v>501</v>
      </c>
      <c r="C79" s="8" t="s">
        <v>948</v>
      </c>
      <c r="D79" s="8" t="s">
        <v>94</v>
      </c>
      <c r="E79" s="8" t="s">
        <v>52</v>
      </c>
      <c r="F79" s="8"/>
      <c r="G79" s="392">
        <f>H79+I79</f>
        <v>430.5</v>
      </c>
      <c r="H79" s="392">
        <v>410</v>
      </c>
      <c r="I79" s="392">
        <v>20.5</v>
      </c>
      <c r="J79" s="393">
        <v>0</v>
      </c>
      <c r="K79" s="392">
        <f>L79+M79</f>
        <v>430.5</v>
      </c>
      <c r="L79" s="392">
        <v>410</v>
      </c>
      <c r="M79" s="392">
        <v>20.5</v>
      </c>
      <c r="N79" s="15"/>
      <c r="O79" s="8" t="s">
        <v>935</v>
      </c>
      <c r="P79" s="15"/>
      <c r="R79" s="387">
        <f t="shared" si="12"/>
        <v>0</v>
      </c>
      <c r="S79" s="387">
        <f t="shared" si="68"/>
        <v>0</v>
      </c>
      <c r="T79" s="387">
        <f t="shared" si="69"/>
        <v>0</v>
      </c>
    </row>
    <row r="80" spans="1:24" ht="47.25" customHeight="1">
      <c r="A80" s="8">
        <v>2</v>
      </c>
      <c r="B80" s="328" t="s">
        <v>503</v>
      </c>
      <c r="C80" s="8" t="s">
        <v>947</v>
      </c>
      <c r="D80" s="8" t="s">
        <v>94</v>
      </c>
      <c r="E80" s="8" t="s">
        <v>52</v>
      </c>
      <c r="F80" s="8"/>
      <c r="G80" s="392">
        <f>H80+I80</f>
        <v>430.5</v>
      </c>
      <c r="H80" s="392">
        <v>410</v>
      </c>
      <c r="I80" s="392">
        <v>20.5</v>
      </c>
      <c r="J80" s="393">
        <v>0</v>
      </c>
      <c r="K80" s="392">
        <f>L80+M80</f>
        <v>430.5</v>
      </c>
      <c r="L80" s="392">
        <v>410</v>
      </c>
      <c r="M80" s="392">
        <v>20.5</v>
      </c>
      <c r="N80" s="15"/>
      <c r="O80" s="8" t="s">
        <v>935</v>
      </c>
      <c r="P80" s="15"/>
      <c r="R80" s="387">
        <f t="shared" si="12"/>
        <v>0</v>
      </c>
      <c r="S80" s="387">
        <f t="shared" si="68"/>
        <v>0</v>
      </c>
      <c r="T80" s="387">
        <f t="shared" si="69"/>
        <v>0</v>
      </c>
    </row>
    <row r="81" spans="1:20" ht="47.25" customHeight="1">
      <c r="A81" s="8">
        <v>3</v>
      </c>
      <c r="B81" s="328" t="s">
        <v>505</v>
      </c>
      <c r="C81" s="8" t="s">
        <v>946</v>
      </c>
      <c r="D81" s="8" t="s">
        <v>94</v>
      </c>
      <c r="E81" s="8" t="s">
        <v>52</v>
      </c>
      <c r="F81" s="8"/>
      <c r="G81" s="392">
        <f t="shared" ref="G81" si="85">H81+I81</f>
        <v>430.5</v>
      </c>
      <c r="H81" s="392">
        <v>410</v>
      </c>
      <c r="I81" s="392">
        <v>20.5</v>
      </c>
      <c r="J81" s="393">
        <v>0</v>
      </c>
      <c r="K81" s="392">
        <f>L81+M81</f>
        <v>430.5</v>
      </c>
      <c r="L81" s="392">
        <v>410</v>
      </c>
      <c r="M81" s="392">
        <v>20.5</v>
      </c>
      <c r="N81" s="15"/>
      <c r="O81" s="8" t="s">
        <v>935</v>
      </c>
      <c r="P81" s="15"/>
      <c r="R81" s="387">
        <f t="shared" si="12"/>
        <v>0</v>
      </c>
      <c r="S81" s="387">
        <f t="shared" si="68"/>
        <v>0</v>
      </c>
      <c r="T81" s="387">
        <f t="shared" si="69"/>
        <v>0</v>
      </c>
    </row>
    <row r="82" spans="1:20" ht="47.25" customHeight="1">
      <c r="A82" s="8">
        <v>4</v>
      </c>
      <c r="B82" s="328" t="s">
        <v>817</v>
      </c>
      <c r="C82" s="8" t="s">
        <v>943</v>
      </c>
      <c r="D82" s="8" t="s">
        <v>159</v>
      </c>
      <c r="E82" s="8" t="s">
        <v>52</v>
      </c>
      <c r="F82" s="8"/>
      <c r="G82" s="392">
        <f>H82+I82</f>
        <v>100.7</v>
      </c>
      <c r="H82" s="392">
        <v>96</v>
      </c>
      <c r="I82" s="392">
        <v>4.7</v>
      </c>
      <c r="J82" s="393">
        <v>0</v>
      </c>
      <c r="K82" s="392">
        <f t="shared" ref="K82" si="86">L82+M82</f>
        <v>100.7</v>
      </c>
      <c r="L82" s="392">
        <v>96</v>
      </c>
      <c r="M82" s="392">
        <v>4.7</v>
      </c>
      <c r="N82" s="15"/>
      <c r="O82" s="8" t="s">
        <v>935</v>
      </c>
      <c r="P82" s="15"/>
      <c r="R82" s="387">
        <f t="shared" si="12"/>
        <v>0</v>
      </c>
      <c r="S82" s="387">
        <f t="shared" si="68"/>
        <v>0</v>
      </c>
      <c r="T82" s="387">
        <f t="shared" si="69"/>
        <v>0</v>
      </c>
    </row>
    <row r="83" spans="1:20" ht="47.25" customHeight="1">
      <c r="A83" s="8">
        <v>5</v>
      </c>
      <c r="B83" s="328" t="s">
        <v>508</v>
      </c>
      <c r="C83" s="8" t="s">
        <v>944</v>
      </c>
      <c r="D83" s="8" t="s">
        <v>510</v>
      </c>
      <c r="E83" s="8" t="s">
        <v>52</v>
      </c>
      <c r="F83" s="8"/>
      <c r="G83" s="392">
        <f>H83+I83</f>
        <v>503</v>
      </c>
      <c r="H83" s="392">
        <v>480</v>
      </c>
      <c r="I83" s="392">
        <v>23</v>
      </c>
      <c r="J83" s="393">
        <v>0</v>
      </c>
      <c r="K83" s="392">
        <f>L83+M83</f>
        <v>503</v>
      </c>
      <c r="L83" s="392">
        <v>480</v>
      </c>
      <c r="M83" s="392">
        <v>23</v>
      </c>
      <c r="N83" s="15"/>
      <c r="O83" s="8" t="s">
        <v>935</v>
      </c>
      <c r="P83" s="15"/>
      <c r="R83" s="387">
        <f t="shared" si="12"/>
        <v>0</v>
      </c>
      <c r="S83" s="387">
        <f t="shared" si="68"/>
        <v>0</v>
      </c>
      <c r="T83" s="387">
        <f t="shared" si="69"/>
        <v>0</v>
      </c>
    </row>
    <row r="84" spans="1:20" ht="47.25" customHeight="1">
      <c r="A84" s="8">
        <v>6</v>
      </c>
      <c r="B84" s="328" t="s">
        <v>818</v>
      </c>
      <c r="C84" s="8" t="s">
        <v>945</v>
      </c>
      <c r="D84" s="8" t="s">
        <v>159</v>
      </c>
      <c r="E84" s="8" t="s">
        <v>52</v>
      </c>
      <c r="F84" s="8"/>
      <c r="G84" s="392">
        <f>H84+I84</f>
        <v>99.8</v>
      </c>
      <c r="H84" s="392">
        <v>95</v>
      </c>
      <c r="I84" s="392">
        <v>4.8</v>
      </c>
      <c r="J84" s="393">
        <v>0</v>
      </c>
      <c r="K84" s="392">
        <f>L84+M84</f>
        <v>99.8</v>
      </c>
      <c r="L84" s="392">
        <v>95</v>
      </c>
      <c r="M84" s="392">
        <v>4.8</v>
      </c>
      <c r="N84" s="15"/>
      <c r="O84" s="8" t="s">
        <v>935</v>
      </c>
      <c r="P84" s="15"/>
      <c r="R84" s="387">
        <f t="shared" si="12"/>
        <v>0</v>
      </c>
      <c r="S84" s="387">
        <f t="shared" si="68"/>
        <v>0</v>
      </c>
      <c r="T84" s="387">
        <f t="shared" si="69"/>
        <v>0</v>
      </c>
    </row>
    <row r="86" spans="1:20">
      <c r="R86" s="387">
        <f>SUM(R21:R85)</f>
        <v>755.59800000000007</v>
      </c>
    </row>
  </sheetData>
  <mergeCells count="14">
    <mergeCell ref="P4:P5"/>
    <mergeCell ref="B8:C8"/>
    <mergeCell ref="B10:C10"/>
    <mergeCell ref="A1:P1"/>
    <mergeCell ref="A2:P2"/>
    <mergeCell ref="I3:P3"/>
    <mergeCell ref="A4:A5"/>
    <mergeCell ref="B4:B5"/>
    <mergeCell ref="C4:C5"/>
    <mergeCell ref="D4:D5"/>
    <mergeCell ref="E4:E5"/>
    <mergeCell ref="K4:N4"/>
    <mergeCell ref="O4:O5"/>
    <mergeCell ref="F4:J4"/>
  </mergeCells>
  <pageMargins left="0.55118110236220474" right="0.15748031496062992" top="0.74803149606299213" bottom="0.74803149606299213" header="0.31496062992125984" footer="0.31496062992125984"/>
  <pageSetup paperSize="9" scale="88" orientation="landscape" verticalDpi="0" r:id="rId1"/>
  <headerFooter>
    <oddFooter>Page &amp;P</oddFooter>
  </headerFooter>
  <legacyDrawing r:id="rId2"/>
</worksheet>
</file>

<file path=xl/worksheets/sheet12.xml><?xml version="1.0" encoding="utf-8"?>
<worksheet xmlns="http://schemas.openxmlformats.org/spreadsheetml/2006/main" xmlns:r="http://schemas.openxmlformats.org/officeDocument/2006/relationships">
  <dimension ref="A1:S109"/>
  <sheetViews>
    <sheetView zoomScale="70" zoomScaleNormal="70" workbookViewId="0">
      <selection activeCell="T20" sqref="T20"/>
    </sheetView>
  </sheetViews>
  <sheetFormatPr defaultRowHeight="15"/>
  <cols>
    <col min="1" max="1" width="5.5703125" customWidth="1"/>
    <col min="2" max="2" width="33.5703125" customWidth="1"/>
    <col min="3" max="3" width="9.28515625" customWidth="1"/>
    <col min="4" max="4" width="30" customWidth="1"/>
    <col min="6" max="17" width="11.28515625" customWidth="1"/>
  </cols>
  <sheetData>
    <row r="1" spans="1:18">
      <c r="A1" s="654" t="s">
        <v>917</v>
      </c>
      <c r="B1" s="654"/>
      <c r="C1" s="654"/>
      <c r="D1" s="654"/>
      <c r="E1" s="654"/>
      <c r="F1" s="654"/>
      <c r="G1" s="654"/>
      <c r="H1" s="654"/>
      <c r="I1" s="654"/>
      <c r="J1" s="654"/>
      <c r="K1" s="654"/>
      <c r="L1" s="654"/>
      <c r="M1" s="654"/>
      <c r="N1" s="654"/>
      <c r="O1" s="654"/>
      <c r="P1" s="654"/>
      <c r="Q1" s="654"/>
      <c r="R1" s="654"/>
    </row>
    <row r="2" spans="1:18">
      <c r="A2" s="642" t="s">
        <v>913</v>
      </c>
      <c r="B2" s="642"/>
      <c r="C2" s="642"/>
      <c r="D2" s="642"/>
      <c r="E2" s="642"/>
      <c r="F2" s="642"/>
      <c r="G2" s="642"/>
      <c r="H2" s="642"/>
      <c r="I2" s="642"/>
      <c r="J2" s="642"/>
      <c r="K2" s="642"/>
      <c r="L2" s="642"/>
      <c r="M2" s="642"/>
      <c r="N2" s="642"/>
      <c r="O2" s="642"/>
      <c r="P2" s="642"/>
      <c r="Q2" s="642"/>
      <c r="R2" s="642"/>
    </row>
    <row r="3" spans="1:18">
      <c r="A3" s="2"/>
      <c r="B3" s="234"/>
      <c r="C3" s="2"/>
      <c r="D3" s="2"/>
      <c r="E3" s="2"/>
      <c r="F3" s="235"/>
      <c r="G3" s="282"/>
      <c r="H3" s="643" t="s">
        <v>0</v>
      </c>
      <c r="I3" s="643"/>
      <c r="J3" s="643"/>
      <c r="K3" s="643"/>
      <c r="L3" s="643"/>
      <c r="M3" s="643"/>
      <c r="N3" s="643"/>
      <c r="O3" s="643"/>
      <c r="P3" s="643"/>
      <c r="Q3" s="643"/>
      <c r="R3" s="643"/>
    </row>
    <row r="4" spans="1:18">
      <c r="A4" s="644" t="s">
        <v>1</v>
      </c>
      <c r="B4" s="645" t="s">
        <v>2</v>
      </c>
      <c r="C4" s="644" t="s">
        <v>3</v>
      </c>
      <c r="D4" s="644" t="s">
        <v>4</v>
      </c>
      <c r="E4" s="644" t="s">
        <v>5</v>
      </c>
      <c r="F4" s="655" t="s">
        <v>6</v>
      </c>
      <c r="G4" s="656"/>
      <c r="H4" s="656"/>
      <c r="I4" s="657"/>
      <c r="J4" s="655" t="s">
        <v>914</v>
      </c>
      <c r="K4" s="656"/>
      <c r="L4" s="656"/>
      <c r="M4" s="657"/>
      <c r="N4" s="655" t="s">
        <v>915</v>
      </c>
      <c r="O4" s="656"/>
      <c r="P4" s="656"/>
      <c r="Q4" s="657"/>
      <c r="R4" s="644" t="s">
        <v>8</v>
      </c>
    </row>
    <row r="5" spans="1:18" ht="42.75">
      <c r="A5" s="644"/>
      <c r="B5" s="645"/>
      <c r="C5" s="644"/>
      <c r="D5" s="644"/>
      <c r="E5" s="644"/>
      <c r="F5" s="3" t="s">
        <v>9</v>
      </c>
      <c r="G5" s="283" t="s">
        <v>10</v>
      </c>
      <c r="H5" s="3" t="s">
        <v>11</v>
      </c>
      <c r="I5" s="3" t="s">
        <v>12</v>
      </c>
      <c r="J5" s="3" t="s">
        <v>9</v>
      </c>
      <c r="K5" s="3" t="s">
        <v>10</v>
      </c>
      <c r="L5" s="3" t="s">
        <v>11</v>
      </c>
      <c r="M5" s="3" t="s">
        <v>12</v>
      </c>
      <c r="N5" s="3" t="s">
        <v>9</v>
      </c>
      <c r="O5" s="3" t="s">
        <v>10</v>
      </c>
      <c r="P5" s="3" t="s">
        <v>11</v>
      </c>
      <c r="Q5" s="3" t="s">
        <v>12</v>
      </c>
      <c r="R5" s="644"/>
    </row>
    <row r="6" spans="1:18">
      <c r="A6" s="4"/>
      <c r="B6" s="298" t="s">
        <v>13</v>
      </c>
      <c r="C6" s="4"/>
      <c r="D6" s="4"/>
      <c r="E6" s="4"/>
      <c r="F6" s="5">
        <f>F7+F13+F15+F17+F1036+F1039+F1045+F1047</f>
        <v>241228</v>
      </c>
      <c r="G6" s="281">
        <f>G7+G13+G15+G17+G1036+G1039+G1045+G1047</f>
        <v>231351</v>
      </c>
      <c r="H6" s="5">
        <f>H7+H13+H15+H17+H1036+H1039+H1045+H1047</f>
        <v>9877</v>
      </c>
      <c r="I6" s="5">
        <f>I7+I13+I15+I17+I1036+I1039+I1045+I1047</f>
        <v>0</v>
      </c>
      <c r="J6" s="5"/>
      <c r="K6" s="5"/>
      <c r="L6" s="5"/>
      <c r="M6" s="5"/>
      <c r="N6" s="5">
        <f>N7+N13+N15+N17+N1036+N1039+N1045+N1047</f>
        <v>49667</v>
      </c>
      <c r="O6" s="5">
        <f>O7+O13+O15+O17+O1036+O1039+O1045+O1047</f>
        <v>47503</v>
      </c>
      <c r="P6" s="5">
        <f>P7+P13+P15+P17+P1036+P1039+P1045+P1047</f>
        <v>2164</v>
      </c>
      <c r="Q6" s="5">
        <f>Q7+Q13+Q15+Q17+Q1036+Q1039+Q1045+Q1047</f>
        <v>0</v>
      </c>
      <c r="R6" s="4"/>
    </row>
    <row r="7" spans="1:18" ht="57" hidden="1">
      <c r="A7" s="298" t="s">
        <v>14</v>
      </c>
      <c r="B7" s="236" t="s">
        <v>15</v>
      </c>
      <c r="C7" s="236"/>
      <c r="D7" s="236"/>
      <c r="E7" s="236"/>
      <c r="F7" s="237">
        <f>F8+F10</f>
        <v>135888</v>
      </c>
      <c r="G7" s="284">
        <f>G8+G10</f>
        <v>130885</v>
      </c>
      <c r="H7" s="237">
        <f>H8+H10</f>
        <v>5003</v>
      </c>
      <c r="I7" s="237"/>
      <c r="J7" s="237"/>
      <c r="K7" s="237"/>
      <c r="L7" s="237"/>
      <c r="M7" s="237"/>
      <c r="N7" s="237">
        <f>N8+N10</f>
        <v>34687</v>
      </c>
      <c r="O7" s="237">
        <f>O8+O10</f>
        <v>33141</v>
      </c>
      <c r="P7" s="237">
        <f>P8+P10</f>
        <v>1546</v>
      </c>
      <c r="Q7" s="237">
        <f>Q8+Q10</f>
        <v>0</v>
      </c>
      <c r="R7" s="236"/>
    </row>
    <row r="8" spans="1:18" hidden="1">
      <c r="A8" s="6" t="s">
        <v>16</v>
      </c>
      <c r="B8" s="658" t="s">
        <v>17</v>
      </c>
      <c r="C8" s="658"/>
      <c r="D8" s="239"/>
      <c r="E8" s="239"/>
      <c r="F8" s="240">
        <f t="shared" ref="F8:F14" si="0">G8+H8</f>
        <v>9796</v>
      </c>
      <c r="G8" s="285">
        <f>SUM(G9:G9)</f>
        <v>9020</v>
      </c>
      <c r="H8" s="240">
        <f>SUM(H9:H9)</f>
        <v>776</v>
      </c>
      <c r="I8" s="240">
        <f>N8+O8</f>
        <v>1020</v>
      </c>
      <c r="J8" s="240"/>
      <c r="K8" s="240"/>
      <c r="L8" s="240"/>
      <c r="M8" s="240"/>
      <c r="N8" s="240">
        <f>SUM(N9:N9)</f>
        <v>530</v>
      </c>
      <c r="O8" s="240">
        <f>SUM(O9:O9)</f>
        <v>490</v>
      </c>
      <c r="P8" s="240">
        <f>SUM(P9:P9)</f>
        <v>40</v>
      </c>
      <c r="Q8" s="240">
        <f>SUM(Q9:Q9)</f>
        <v>0</v>
      </c>
      <c r="R8" s="239"/>
    </row>
    <row r="9" spans="1:18" ht="30" hidden="1">
      <c r="A9" s="8">
        <v>5</v>
      </c>
      <c r="B9" s="241" t="s">
        <v>23</v>
      </c>
      <c r="C9" s="241"/>
      <c r="D9" s="241"/>
      <c r="E9" s="9" t="s">
        <v>19</v>
      </c>
      <c r="F9" s="242">
        <f t="shared" si="0"/>
        <v>9796</v>
      </c>
      <c r="G9" s="286">
        <v>9020</v>
      </c>
      <c r="H9" s="243">
        <v>776</v>
      </c>
      <c r="I9" s="241"/>
      <c r="J9" s="241"/>
      <c r="K9" s="241"/>
      <c r="L9" s="241"/>
      <c r="M9" s="241"/>
      <c r="N9" s="242">
        <f t="shared" ref="N9" si="1">O9+P9</f>
        <v>530</v>
      </c>
      <c r="O9" s="244">
        <v>490</v>
      </c>
      <c r="P9" s="244">
        <v>40</v>
      </c>
      <c r="Q9" s="244"/>
      <c r="R9" s="241"/>
    </row>
    <row r="10" spans="1:18" hidden="1">
      <c r="A10" s="6" t="s">
        <v>26</v>
      </c>
      <c r="B10" s="712" t="s">
        <v>27</v>
      </c>
      <c r="C10" s="713"/>
      <c r="D10" s="6"/>
      <c r="E10" s="6"/>
      <c r="F10" s="240">
        <f t="shared" si="0"/>
        <v>126092</v>
      </c>
      <c r="G10" s="285">
        <f>SUM(G11:G12)</f>
        <v>121865</v>
      </c>
      <c r="H10" s="240">
        <f>SUM(H11:H12)</f>
        <v>4227</v>
      </c>
      <c r="I10" s="240"/>
      <c r="J10" s="240"/>
      <c r="K10" s="240"/>
      <c r="L10" s="240"/>
      <c r="M10" s="240"/>
      <c r="N10" s="240">
        <f t="shared" ref="N10:Q10" si="2">SUM(N11:N12)</f>
        <v>34157</v>
      </c>
      <c r="O10" s="240">
        <f t="shared" si="2"/>
        <v>32651</v>
      </c>
      <c r="P10" s="240">
        <f t="shared" si="2"/>
        <v>1506</v>
      </c>
      <c r="Q10" s="240">
        <f t="shared" si="2"/>
        <v>0</v>
      </c>
      <c r="R10" s="6"/>
    </row>
    <row r="11" spans="1:18" ht="60" hidden="1">
      <c r="A11" s="10">
        <v>1</v>
      </c>
      <c r="B11" s="241" t="s">
        <v>28</v>
      </c>
      <c r="C11" s="10" t="s">
        <v>29</v>
      </c>
      <c r="D11" s="10" t="s">
        <v>30</v>
      </c>
      <c r="E11" s="8" t="s">
        <v>31</v>
      </c>
      <c r="F11" s="242">
        <f t="shared" si="0"/>
        <v>70000</v>
      </c>
      <c r="G11" s="287">
        <v>66247</v>
      </c>
      <c r="H11" s="242">
        <v>3753</v>
      </c>
      <c r="I11" s="245"/>
      <c r="J11" s="245"/>
      <c r="K11" s="245"/>
      <c r="L11" s="245"/>
      <c r="M11" s="245"/>
      <c r="N11" s="242">
        <f>O11+P11</f>
        <v>32157</v>
      </c>
      <c r="O11" s="242">
        <v>30651</v>
      </c>
      <c r="P11" s="242">
        <v>1506</v>
      </c>
      <c r="Q11" s="245"/>
      <c r="R11" s="4"/>
    </row>
    <row r="12" spans="1:18" ht="60" hidden="1">
      <c r="A12" s="10">
        <v>2</v>
      </c>
      <c r="B12" s="241" t="s">
        <v>32</v>
      </c>
      <c r="C12" s="10" t="s">
        <v>29</v>
      </c>
      <c r="D12" s="10" t="s">
        <v>30</v>
      </c>
      <c r="E12" s="8" t="s">
        <v>33</v>
      </c>
      <c r="F12" s="242">
        <f t="shared" si="0"/>
        <v>56092</v>
      </c>
      <c r="G12" s="287">
        <v>55618</v>
      </c>
      <c r="H12" s="242">
        <v>474</v>
      </c>
      <c r="I12" s="246"/>
      <c r="J12" s="246"/>
      <c r="K12" s="246"/>
      <c r="L12" s="246"/>
      <c r="M12" s="246"/>
      <c r="N12" s="242">
        <f>O12+P12</f>
        <v>2000</v>
      </c>
      <c r="O12" s="242">
        <v>2000</v>
      </c>
      <c r="P12" s="242"/>
      <c r="Q12" s="245"/>
      <c r="R12" s="4"/>
    </row>
    <row r="13" spans="1:18" ht="42.75" hidden="1">
      <c r="A13" s="298" t="s">
        <v>34</v>
      </c>
      <c r="B13" s="236" t="s">
        <v>35</v>
      </c>
      <c r="C13" s="236"/>
      <c r="D13" s="236"/>
      <c r="E13" s="4"/>
      <c r="F13" s="247">
        <f t="shared" si="0"/>
        <v>45000</v>
      </c>
      <c r="G13" s="288">
        <f>SUM(G14:G14)</f>
        <v>43000</v>
      </c>
      <c r="H13" s="247">
        <f>SUM(H14:H14)</f>
        <v>2000</v>
      </c>
      <c r="I13" s="248"/>
      <c r="J13" s="248"/>
      <c r="K13" s="248"/>
      <c r="L13" s="248"/>
      <c r="M13" s="248"/>
      <c r="N13" s="247">
        <f>O13+P13</f>
        <v>2000</v>
      </c>
      <c r="O13" s="247">
        <f>SUM(O14:O14)</f>
        <v>2000</v>
      </c>
      <c r="P13" s="247">
        <f>SUM(P14:P14)</f>
        <v>0</v>
      </c>
      <c r="Q13" s="247">
        <f>SUM(Q14:Q14)</f>
        <v>0</v>
      </c>
      <c r="R13" s="4"/>
    </row>
    <row r="14" spans="1:18" ht="75" hidden="1">
      <c r="A14" s="10">
        <v>5</v>
      </c>
      <c r="B14" s="241" t="s">
        <v>37</v>
      </c>
      <c r="C14" s="10" t="s">
        <v>38</v>
      </c>
      <c r="D14" s="10" t="s">
        <v>36</v>
      </c>
      <c r="E14" s="8" t="s">
        <v>33</v>
      </c>
      <c r="F14" s="242">
        <f t="shared" si="0"/>
        <v>45000</v>
      </c>
      <c r="G14" s="287">
        <v>43000</v>
      </c>
      <c r="H14" s="242">
        <v>2000</v>
      </c>
      <c r="I14" s="246"/>
      <c r="J14" s="246"/>
      <c r="K14" s="246"/>
      <c r="L14" s="246"/>
      <c r="M14" s="246"/>
      <c r="N14" s="242">
        <f t="shared" ref="N14" si="3">O14+P14</f>
        <v>2000</v>
      </c>
      <c r="O14" s="242">
        <v>2000</v>
      </c>
      <c r="P14" s="242"/>
      <c r="Q14" s="245"/>
      <c r="R14" s="4"/>
    </row>
    <row r="15" spans="1:18" ht="85.5" hidden="1">
      <c r="A15" s="11" t="s">
        <v>39</v>
      </c>
      <c r="B15" s="239" t="s">
        <v>40</v>
      </c>
      <c r="C15" s="11"/>
      <c r="D15" s="11"/>
      <c r="E15" s="298"/>
      <c r="F15" s="247">
        <f t="shared" ref="F15:Q15" si="4">F16</f>
        <v>30170</v>
      </c>
      <c r="G15" s="288">
        <f t="shared" si="4"/>
        <v>28733</v>
      </c>
      <c r="H15" s="247">
        <f t="shared" si="4"/>
        <v>1437</v>
      </c>
      <c r="I15" s="247">
        <f t="shared" si="4"/>
        <v>0</v>
      </c>
      <c r="J15" s="247"/>
      <c r="K15" s="247"/>
      <c r="L15" s="247"/>
      <c r="M15" s="247"/>
      <c r="N15" s="247">
        <f t="shared" si="4"/>
        <v>6490</v>
      </c>
      <c r="O15" s="247">
        <f t="shared" si="4"/>
        <v>6181</v>
      </c>
      <c r="P15" s="247">
        <f t="shared" si="4"/>
        <v>309</v>
      </c>
      <c r="Q15" s="247">
        <f t="shared" si="4"/>
        <v>0</v>
      </c>
      <c r="R15" s="6"/>
    </row>
    <row r="16" spans="1:18" ht="30" hidden="1">
      <c r="A16" s="10">
        <v>1</v>
      </c>
      <c r="B16" s="241" t="s">
        <v>41</v>
      </c>
      <c r="C16" s="10" t="s">
        <v>42</v>
      </c>
      <c r="D16" s="10" t="s">
        <v>43</v>
      </c>
      <c r="E16" s="8" t="s">
        <v>31</v>
      </c>
      <c r="F16" s="242">
        <f>G16+H16</f>
        <v>30170</v>
      </c>
      <c r="G16" s="287">
        <v>28733</v>
      </c>
      <c r="H16" s="242">
        <v>1437</v>
      </c>
      <c r="I16" s="246"/>
      <c r="J16" s="246"/>
      <c r="K16" s="246"/>
      <c r="L16" s="246"/>
      <c r="M16" s="246"/>
      <c r="N16" s="242">
        <f>O16+P16</f>
        <v>6490</v>
      </c>
      <c r="O16" s="242">
        <v>6181</v>
      </c>
      <c r="P16" s="242">
        <v>309</v>
      </c>
      <c r="Q16" s="245"/>
      <c r="R16" s="4"/>
    </row>
    <row r="17" spans="1:18" ht="57" hidden="1">
      <c r="A17" s="298" t="s">
        <v>44</v>
      </c>
      <c r="B17" s="236" t="s">
        <v>45</v>
      </c>
      <c r="C17" s="236"/>
      <c r="D17" s="236"/>
      <c r="E17" s="236"/>
      <c r="F17" s="237">
        <f>F18+F1013+F1017+F1019</f>
        <v>30170</v>
      </c>
      <c r="G17" s="284">
        <f>G18+G1013+G1017+G1019</f>
        <v>28733</v>
      </c>
      <c r="H17" s="237">
        <f>H18+H1013+H1017+H1019</f>
        <v>1437</v>
      </c>
      <c r="I17" s="237">
        <f>I18+I1013+I1017+I1019</f>
        <v>0</v>
      </c>
      <c r="J17" s="237"/>
      <c r="K17" s="237"/>
      <c r="L17" s="237"/>
      <c r="M17" s="237"/>
      <c r="N17" s="237">
        <f>N18+N1013+N1017+N1019</f>
        <v>6490</v>
      </c>
      <c r="O17" s="237">
        <f>O18+O1013+O1017+O1019</f>
        <v>6181</v>
      </c>
      <c r="P17" s="237">
        <f>P18+P1013+P1017+P1019</f>
        <v>309</v>
      </c>
      <c r="Q17" s="237">
        <f>Q18+Q1013+Q1017+Q1019</f>
        <v>0</v>
      </c>
      <c r="R17" s="236"/>
    </row>
    <row r="18" spans="1:18" ht="30" hidden="1">
      <c r="A18" s="10">
        <v>1</v>
      </c>
      <c r="B18" s="9" t="s">
        <v>41</v>
      </c>
      <c r="C18" s="10" t="s">
        <v>42</v>
      </c>
      <c r="D18" s="10" t="s">
        <v>43</v>
      </c>
      <c r="E18" s="8" t="s">
        <v>31</v>
      </c>
      <c r="F18" s="130">
        <f>G18+H18</f>
        <v>30170</v>
      </c>
      <c r="G18" s="289">
        <v>28733</v>
      </c>
      <c r="H18" s="130">
        <v>1437</v>
      </c>
      <c r="I18" s="131"/>
      <c r="J18" s="131"/>
      <c r="K18" s="131"/>
      <c r="L18" s="131"/>
      <c r="M18" s="131"/>
      <c r="N18" s="130">
        <f>O18+P18</f>
        <v>6490</v>
      </c>
      <c r="O18" s="130">
        <v>6181</v>
      </c>
      <c r="P18" s="130">
        <v>309</v>
      </c>
      <c r="Q18" s="4"/>
      <c r="R18" s="4"/>
    </row>
    <row r="19" spans="1:18" ht="57">
      <c r="A19" s="298" t="s">
        <v>44</v>
      </c>
      <c r="B19" s="12" t="s">
        <v>45</v>
      </c>
      <c r="C19" s="12"/>
      <c r="D19" s="12"/>
      <c r="E19" s="12"/>
      <c r="F19" s="127" t="e">
        <f>F20+#REF!+#REF!+#REF!</f>
        <v>#REF!</v>
      </c>
      <c r="G19" s="290" t="e">
        <f>G20+#REF!+#REF!+#REF!</f>
        <v>#REF!</v>
      </c>
      <c r="H19" s="127" t="e">
        <f>H20+#REF!+#REF!+#REF!</f>
        <v>#REF!</v>
      </c>
      <c r="I19" s="127" t="e">
        <f>I20+#REF!+#REF!+#REF!</f>
        <v>#REF!</v>
      </c>
      <c r="J19" s="127"/>
      <c r="K19" s="127"/>
      <c r="L19" s="127"/>
      <c r="M19" s="127"/>
      <c r="N19" s="127" t="e">
        <f>N20+#REF!+#REF!+#REF!</f>
        <v>#REF!</v>
      </c>
      <c r="O19" s="127" t="e">
        <f>O20+#REF!+#REF!+#REF!</f>
        <v>#REF!</v>
      </c>
      <c r="P19" s="127" t="e">
        <f>P20+#REF!+#REF!+#REF!</f>
        <v>#REF!</v>
      </c>
      <c r="Q19" s="127" t="e">
        <f>Q20+#REF!+#REF!+#REF!</f>
        <v>#REF!</v>
      </c>
      <c r="R19" s="12"/>
    </row>
    <row r="20" spans="1:18" ht="60">
      <c r="A20" s="6" t="s">
        <v>46</v>
      </c>
      <c r="B20" s="128" t="s">
        <v>47</v>
      </c>
      <c r="C20" s="128"/>
      <c r="D20" s="128"/>
      <c r="E20" s="128"/>
      <c r="F20" s="132" t="e">
        <f>#REF!+#REF!+#REF!+#REF!+F21+#REF!+#REF!+#REF!</f>
        <v>#REF!</v>
      </c>
      <c r="G20" s="291" t="e">
        <f>#REF!+#REF!+#REF!+#REF!+G21+#REF!+#REF!+#REF!</f>
        <v>#REF!</v>
      </c>
      <c r="H20" s="132" t="e">
        <f>#REF!+#REF!+#REF!+#REF!+H21+#REF!+#REF!+#REF!</f>
        <v>#REF!</v>
      </c>
      <c r="I20" s="132" t="e">
        <f>#REF!+#REF!+#REF!+#REF!+I21+#REF!+#REF!+#REF!</f>
        <v>#REF!</v>
      </c>
      <c r="J20" s="132"/>
      <c r="K20" s="132"/>
      <c r="L20" s="132"/>
      <c r="M20" s="132"/>
      <c r="N20" s="132" t="e">
        <f>#REF!+#REF!+#REF!+#REF!+N21+#REF!+#REF!+#REF!</f>
        <v>#REF!</v>
      </c>
      <c r="O20" s="132" t="e">
        <f>#REF!+#REF!+#REF!+#REF!+O21+#REF!+#REF!+#REF!+0.1</f>
        <v>#REF!</v>
      </c>
      <c r="P20" s="132" t="e">
        <f>#REF!+#REF!+#REF!+#REF!+P21+#REF!+#REF!+#REF!</f>
        <v>#REF!</v>
      </c>
      <c r="Q20" s="132" t="e">
        <f>#REF!+#REF!+#REF!+#REF!+Q21+#REF!+#REF!+#REF!</f>
        <v>#REF!</v>
      </c>
      <c r="R20" s="12"/>
    </row>
    <row r="21" spans="1:18">
      <c r="A21" s="298"/>
      <c r="B21" s="298" t="s">
        <v>715</v>
      </c>
      <c r="C21" s="15"/>
      <c r="D21" s="15"/>
      <c r="E21" s="15"/>
      <c r="F21" s="407">
        <f>F22+F26+F30+F32+F35+F40+F45+F52+F65+F59+F69+F74+F78+F86+F88+F92+F98</f>
        <v>51878.09</v>
      </c>
      <c r="G21" s="407">
        <f>G22+G26+G30+G32+G35+G40+G45+G52+G65+G59+G69+G74+G78+G86+G88+G92+G98</f>
        <v>49407.549999999996</v>
      </c>
      <c r="H21" s="407">
        <f>H22+H26+H30+H32+H35+H40+H45+H52+H65+H59+H69+H74+H78+H86+H88+H92+H98</f>
        <v>2470.5400000000004</v>
      </c>
      <c r="I21" s="407">
        <f>I22+I26+I30+I32+I35+I40+I45+I52+I65+I59+I69+I74+I78+I86+I88+I92+I98</f>
        <v>0</v>
      </c>
      <c r="J21" s="407"/>
      <c r="K21" s="407"/>
      <c r="L21" s="407"/>
      <c r="M21" s="407"/>
      <c r="N21" s="407">
        <f>N22+N26+N30+N32+N35+N40+N45+N52+N65+N59+N69+N74+N78+N86+N88+N92+N98</f>
        <v>50838.34</v>
      </c>
      <c r="O21" s="407">
        <f>O22+O26+O30+O32+O35+O40+O45+O52+O65+O59+O69+O74+O78+O86+O88+O92+O98</f>
        <v>48418.7</v>
      </c>
      <c r="P21" s="407">
        <f>P22+P26+P30+P32+P35+P40+P45+P52+P65+P59+P69+P74+P78+P86+P88+P92+P98</f>
        <v>2419.64</v>
      </c>
      <c r="Q21" s="407">
        <f>Q22+Q26+Q30+Q32+Q35+Q40+Q45+Q52+Q65+Q59+Q69+Q74+Q78+Q86+Q88+Q92+Q98</f>
        <v>0</v>
      </c>
      <c r="R21" s="408"/>
    </row>
    <row r="22" spans="1:18">
      <c r="A22" s="6" t="s">
        <v>60</v>
      </c>
      <c r="B22" s="6" t="s">
        <v>61</v>
      </c>
      <c r="C22" s="16"/>
      <c r="D22" s="16"/>
      <c r="E22" s="16"/>
      <c r="F22" s="407">
        <f>SUM(F23:F25)</f>
        <v>1522.55</v>
      </c>
      <c r="G22" s="409">
        <f>SUM(G23:G25)</f>
        <v>1450</v>
      </c>
      <c r="H22" s="409">
        <f>SUM(H23:H25)</f>
        <v>72.55</v>
      </c>
      <c r="I22" s="409">
        <f>SUM(I23:I25)</f>
        <v>0</v>
      </c>
      <c r="J22" s="409"/>
      <c r="K22" s="409"/>
      <c r="L22" s="409"/>
      <c r="M22" s="409"/>
      <c r="N22" s="409">
        <f>SUM(N23:N25)</f>
        <v>1522.55</v>
      </c>
      <c r="O22" s="409">
        <f>SUM(O23:O25)</f>
        <v>1450</v>
      </c>
      <c r="P22" s="409">
        <f>SUM(P23:P25)</f>
        <v>72.55</v>
      </c>
      <c r="Q22" s="409">
        <f>SUM(Q23:Q25)</f>
        <v>0</v>
      </c>
      <c r="R22" s="410"/>
    </row>
    <row r="23" spans="1:18" ht="75">
      <c r="A23" s="141">
        <v>4</v>
      </c>
      <c r="B23" s="325" t="s">
        <v>71</v>
      </c>
      <c r="C23" s="141" t="s">
        <v>63</v>
      </c>
      <c r="D23" s="141" t="s">
        <v>72</v>
      </c>
      <c r="E23" s="141" t="s">
        <v>53</v>
      </c>
      <c r="F23" s="143">
        <f t="shared" ref="F23:F42" si="5">G23+H23</f>
        <v>525.04999999999995</v>
      </c>
      <c r="G23" s="292">
        <v>500</v>
      </c>
      <c r="H23" s="143">
        <v>25.05</v>
      </c>
      <c r="I23" s="145"/>
      <c r="J23" s="145"/>
      <c r="K23" s="145"/>
      <c r="L23" s="145"/>
      <c r="M23" s="145"/>
      <c r="N23" s="144">
        <f t="shared" ref="N23:N41" si="6">O23+P23</f>
        <v>525.04999999999995</v>
      </c>
      <c r="O23" s="354">
        <f>+G23</f>
        <v>500</v>
      </c>
      <c r="P23" s="354">
        <f t="shared" ref="P23:Q23" si="7">+H23</f>
        <v>25.05</v>
      </c>
      <c r="Q23" s="354">
        <f t="shared" si="7"/>
        <v>0</v>
      </c>
      <c r="R23" s="145"/>
    </row>
    <row r="24" spans="1:18" ht="60">
      <c r="A24" s="141">
        <v>5</v>
      </c>
      <c r="B24" s="325" t="s">
        <v>65</v>
      </c>
      <c r="C24" s="141" t="s">
        <v>66</v>
      </c>
      <c r="D24" s="141" t="s">
        <v>73</v>
      </c>
      <c r="E24" s="141" t="s">
        <v>53</v>
      </c>
      <c r="F24" s="143">
        <f t="shared" si="5"/>
        <v>472.5</v>
      </c>
      <c r="G24" s="292">
        <v>450</v>
      </c>
      <c r="H24" s="143">
        <v>22.5</v>
      </c>
      <c r="I24" s="145"/>
      <c r="J24" s="145"/>
      <c r="K24" s="145"/>
      <c r="L24" s="145"/>
      <c r="M24" s="145"/>
      <c r="N24" s="144">
        <f t="shared" si="6"/>
        <v>472.5</v>
      </c>
      <c r="O24" s="354">
        <f t="shared" ref="O24:O25" si="8">+G24</f>
        <v>450</v>
      </c>
      <c r="P24" s="354">
        <f t="shared" ref="P24:P25" si="9">+H24</f>
        <v>22.5</v>
      </c>
      <c r="Q24" s="354">
        <f t="shared" ref="Q24:Q25" si="10">+I24</f>
        <v>0</v>
      </c>
      <c r="R24" s="145"/>
    </row>
    <row r="25" spans="1:18" ht="105">
      <c r="A25" s="141">
        <v>6</v>
      </c>
      <c r="B25" s="325" t="s">
        <v>74</v>
      </c>
      <c r="C25" s="141" t="s">
        <v>69</v>
      </c>
      <c r="D25" s="141" t="s">
        <v>75</v>
      </c>
      <c r="E25" s="141" t="s">
        <v>53</v>
      </c>
      <c r="F25" s="143">
        <f t="shared" si="5"/>
        <v>525</v>
      </c>
      <c r="G25" s="292">
        <v>500</v>
      </c>
      <c r="H25" s="143">
        <v>25</v>
      </c>
      <c r="I25" s="145"/>
      <c r="J25" s="145"/>
      <c r="K25" s="145"/>
      <c r="L25" s="145"/>
      <c r="M25" s="145"/>
      <c r="N25" s="144">
        <f t="shared" si="6"/>
        <v>525</v>
      </c>
      <c r="O25" s="354">
        <f t="shared" si="8"/>
        <v>500</v>
      </c>
      <c r="P25" s="354">
        <f t="shared" si="9"/>
        <v>25</v>
      </c>
      <c r="Q25" s="354">
        <f t="shared" si="10"/>
        <v>0</v>
      </c>
      <c r="R25" s="145"/>
    </row>
    <row r="26" spans="1:18">
      <c r="A26" s="6" t="s">
        <v>90</v>
      </c>
      <c r="B26" s="326" t="s">
        <v>91</v>
      </c>
      <c r="C26" s="6"/>
      <c r="D26" s="23">
        <v>0</v>
      </c>
      <c r="E26" s="23"/>
      <c r="F26" s="345">
        <f>SUM(F27:F29)</f>
        <v>2667</v>
      </c>
      <c r="G26" s="346">
        <f>SUM(G27:G29)</f>
        <v>2540</v>
      </c>
      <c r="H26" s="345">
        <f>SUM(H27:H29)</f>
        <v>127</v>
      </c>
      <c r="I26" s="345">
        <f>SUM(I27:I29)</f>
        <v>0</v>
      </c>
      <c r="J26" s="345"/>
      <c r="K26" s="345"/>
      <c r="L26" s="345"/>
      <c r="M26" s="345"/>
      <c r="N26" s="345">
        <f>SUM(N27:N29)</f>
        <v>2667</v>
      </c>
      <c r="O26" s="345">
        <f>SUM(O27:O29)</f>
        <v>2540</v>
      </c>
      <c r="P26" s="345">
        <f>SUM(P27:P29)</f>
        <v>127</v>
      </c>
      <c r="Q26" s="345">
        <f>SUM(Q27:Q29)</f>
        <v>0</v>
      </c>
      <c r="R26" s="347"/>
    </row>
    <row r="27" spans="1:18" ht="90">
      <c r="A27" s="141">
        <v>5</v>
      </c>
      <c r="B27" s="325" t="s">
        <v>102</v>
      </c>
      <c r="C27" s="141" t="s">
        <v>115</v>
      </c>
      <c r="D27" s="141" t="s">
        <v>94</v>
      </c>
      <c r="E27" s="141" t="s">
        <v>53</v>
      </c>
      <c r="F27" s="143">
        <f t="shared" si="5"/>
        <v>462</v>
      </c>
      <c r="G27" s="292">
        <v>440</v>
      </c>
      <c r="H27" s="143">
        <v>22</v>
      </c>
      <c r="I27" s="145">
        <v>0</v>
      </c>
      <c r="J27" s="145"/>
      <c r="K27" s="145"/>
      <c r="L27" s="145"/>
      <c r="M27" s="145"/>
      <c r="N27" s="144">
        <f t="shared" si="6"/>
        <v>462</v>
      </c>
      <c r="O27" s="354">
        <f>+G27</f>
        <v>440</v>
      </c>
      <c r="P27" s="354">
        <f t="shared" ref="P27:Q27" si="11">+H27</f>
        <v>22</v>
      </c>
      <c r="Q27" s="354">
        <f t="shared" si="11"/>
        <v>0</v>
      </c>
      <c r="R27" s="145"/>
    </row>
    <row r="28" spans="1:18" ht="90">
      <c r="A28" s="141">
        <v>6</v>
      </c>
      <c r="B28" s="325" t="s">
        <v>103</v>
      </c>
      <c r="C28" s="141" t="s">
        <v>96</v>
      </c>
      <c r="D28" s="141" t="s">
        <v>104</v>
      </c>
      <c r="E28" s="141" t="s">
        <v>53</v>
      </c>
      <c r="F28" s="143">
        <f t="shared" si="5"/>
        <v>735</v>
      </c>
      <c r="G28" s="292">
        <v>700</v>
      </c>
      <c r="H28" s="143">
        <v>35</v>
      </c>
      <c r="I28" s="145">
        <v>0</v>
      </c>
      <c r="J28" s="145"/>
      <c r="K28" s="145"/>
      <c r="L28" s="145"/>
      <c r="M28" s="145"/>
      <c r="N28" s="144">
        <f t="shared" si="6"/>
        <v>735</v>
      </c>
      <c r="O28" s="354">
        <f t="shared" ref="O28:O29" si="12">+G28</f>
        <v>700</v>
      </c>
      <c r="P28" s="354">
        <f t="shared" ref="P28:P29" si="13">+H28</f>
        <v>35</v>
      </c>
      <c r="Q28" s="354">
        <f t="shared" ref="Q28:Q29" si="14">+I28</f>
        <v>0</v>
      </c>
      <c r="R28" s="145"/>
    </row>
    <row r="29" spans="1:18" ht="90">
      <c r="A29" s="141">
        <v>7</v>
      </c>
      <c r="B29" s="325" t="s">
        <v>105</v>
      </c>
      <c r="C29" s="141" t="s">
        <v>106</v>
      </c>
      <c r="D29" s="141" t="s">
        <v>107</v>
      </c>
      <c r="E29" s="141" t="s">
        <v>53</v>
      </c>
      <c r="F29" s="143">
        <f t="shared" si="5"/>
        <v>1470</v>
      </c>
      <c r="G29" s="292">
        <v>1400</v>
      </c>
      <c r="H29" s="143">
        <v>70</v>
      </c>
      <c r="I29" s="145">
        <v>0</v>
      </c>
      <c r="J29" s="145"/>
      <c r="K29" s="145"/>
      <c r="L29" s="145"/>
      <c r="M29" s="145"/>
      <c r="N29" s="144">
        <f t="shared" si="6"/>
        <v>1470</v>
      </c>
      <c r="O29" s="354">
        <f t="shared" si="12"/>
        <v>1400</v>
      </c>
      <c r="P29" s="354">
        <f t="shared" si="13"/>
        <v>70</v>
      </c>
      <c r="Q29" s="354">
        <f t="shared" si="14"/>
        <v>0</v>
      </c>
      <c r="R29" s="145"/>
    </row>
    <row r="30" spans="1:18">
      <c r="A30" s="6" t="s">
        <v>117</v>
      </c>
      <c r="B30" s="326" t="s">
        <v>118</v>
      </c>
      <c r="C30" s="6"/>
      <c r="D30" s="23">
        <v>0</v>
      </c>
      <c r="E30" s="23"/>
      <c r="F30" s="345">
        <f>SUM(F31:F31)</f>
        <v>2625</v>
      </c>
      <c r="G30" s="346">
        <f>SUM(G31:G31)</f>
        <v>2500</v>
      </c>
      <c r="H30" s="345">
        <f>SUM(H31:H31)</f>
        <v>125</v>
      </c>
      <c r="I30" s="345">
        <f>SUM(I31:I31)</f>
        <v>0</v>
      </c>
      <c r="J30" s="345"/>
      <c r="K30" s="345"/>
      <c r="L30" s="345"/>
      <c r="M30" s="345"/>
      <c r="N30" s="345">
        <f>SUM(N31:N31)</f>
        <v>2625</v>
      </c>
      <c r="O30" s="345">
        <f>SUM(O31:O31)</f>
        <v>2500</v>
      </c>
      <c r="P30" s="345">
        <f>SUM(P31:P31)</f>
        <v>125</v>
      </c>
      <c r="Q30" s="345">
        <f>SUM(Q31:Q31)</f>
        <v>0</v>
      </c>
      <c r="R30" s="347"/>
    </row>
    <row r="31" spans="1:18" ht="90">
      <c r="A31" s="141">
        <v>5</v>
      </c>
      <c r="B31" s="325" t="s">
        <v>129</v>
      </c>
      <c r="C31" s="141" t="s">
        <v>127</v>
      </c>
      <c r="D31" s="141" t="s">
        <v>130</v>
      </c>
      <c r="E31" s="141" t="s">
        <v>53</v>
      </c>
      <c r="F31" s="143">
        <f t="shared" si="5"/>
        <v>2625</v>
      </c>
      <c r="G31" s="292">
        <v>2500</v>
      </c>
      <c r="H31" s="143">
        <v>125</v>
      </c>
      <c r="I31" s="145">
        <v>0</v>
      </c>
      <c r="J31" s="145"/>
      <c r="K31" s="145"/>
      <c r="L31" s="145"/>
      <c r="M31" s="145"/>
      <c r="N31" s="144">
        <f t="shared" si="6"/>
        <v>2625</v>
      </c>
      <c r="O31" s="354">
        <f>+G31</f>
        <v>2500</v>
      </c>
      <c r="P31" s="354">
        <f t="shared" ref="P31:Q31" si="15">+H31</f>
        <v>125</v>
      </c>
      <c r="Q31" s="354">
        <f t="shared" si="15"/>
        <v>0</v>
      </c>
      <c r="R31" s="145"/>
    </row>
    <row r="32" spans="1:18">
      <c r="A32" s="6" t="s">
        <v>137</v>
      </c>
      <c r="B32" s="326" t="s">
        <v>138</v>
      </c>
      <c r="C32" s="24"/>
      <c r="D32" s="23">
        <v>0</v>
      </c>
      <c r="E32" s="23"/>
      <c r="F32" s="345">
        <f>SUM(F33:F34)</f>
        <v>5001.1499999999996</v>
      </c>
      <c r="G32" s="346">
        <f>SUM(G33:G34)</f>
        <v>4763</v>
      </c>
      <c r="H32" s="345">
        <f>SUM(H33:H34)</f>
        <v>238.15</v>
      </c>
      <c r="I32" s="345">
        <f>SUM(I33:I34)</f>
        <v>0</v>
      </c>
      <c r="J32" s="345"/>
      <c r="K32" s="345"/>
      <c r="L32" s="345"/>
      <c r="M32" s="345"/>
      <c r="N32" s="345">
        <f>SUM(N33:N34)</f>
        <v>5001.1499999999996</v>
      </c>
      <c r="O32" s="345">
        <f>SUM(O33:O34)</f>
        <v>4763</v>
      </c>
      <c r="P32" s="345">
        <f>SUM(P33:P34)</f>
        <v>238.15</v>
      </c>
      <c r="Q32" s="345">
        <f>SUM(Q33:Q34)</f>
        <v>0</v>
      </c>
      <c r="R32" s="348"/>
    </row>
    <row r="33" spans="1:18" ht="45">
      <c r="A33" s="141">
        <v>4</v>
      </c>
      <c r="B33" s="325" t="s">
        <v>825</v>
      </c>
      <c r="C33" s="141" t="s">
        <v>144</v>
      </c>
      <c r="D33" s="141" t="s">
        <v>826</v>
      </c>
      <c r="E33" s="141" t="s">
        <v>53</v>
      </c>
      <c r="F33" s="143">
        <f>G33+H33</f>
        <v>3000.9</v>
      </c>
      <c r="G33" s="289">
        <v>2858</v>
      </c>
      <c r="H33" s="163">
        <v>142.9</v>
      </c>
      <c r="I33" s="145">
        <v>0</v>
      </c>
      <c r="J33" s="145"/>
      <c r="K33" s="145"/>
      <c r="L33" s="145"/>
      <c r="M33" s="145"/>
      <c r="N33" s="144">
        <f t="shared" si="6"/>
        <v>3000.9</v>
      </c>
      <c r="O33" s="354">
        <f>+G33</f>
        <v>2858</v>
      </c>
      <c r="P33" s="354">
        <f t="shared" ref="P33:Q33" si="16">+H33</f>
        <v>142.9</v>
      </c>
      <c r="Q33" s="354">
        <f t="shared" si="16"/>
        <v>0</v>
      </c>
      <c r="R33" s="145"/>
    </row>
    <row r="34" spans="1:18" ht="75">
      <c r="A34" s="141">
        <v>5</v>
      </c>
      <c r="B34" s="325" t="s">
        <v>904</v>
      </c>
      <c r="C34" s="141" t="s">
        <v>140</v>
      </c>
      <c r="D34" s="150" t="s">
        <v>905</v>
      </c>
      <c r="E34" s="141" t="s">
        <v>53</v>
      </c>
      <c r="F34" s="277">
        <f t="shared" si="5"/>
        <v>2000.25</v>
      </c>
      <c r="G34" s="289">
        <v>1905</v>
      </c>
      <c r="H34" s="278">
        <v>95.25</v>
      </c>
      <c r="I34" s="145">
        <v>0</v>
      </c>
      <c r="J34" s="145"/>
      <c r="K34" s="145"/>
      <c r="L34" s="145"/>
      <c r="M34" s="145"/>
      <c r="N34" s="144">
        <f t="shared" si="6"/>
        <v>2000.25</v>
      </c>
      <c r="O34" s="354">
        <f>+G34</f>
        <v>1905</v>
      </c>
      <c r="P34" s="354">
        <f t="shared" ref="P34" si="17">+H34</f>
        <v>95.25</v>
      </c>
      <c r="Q34" s="354">
        <f t="shared" ref="Q34" si="18">+I34</f>
        <v>0</v>
      </c>
      <c r="R34" s="145"/>
    </row>
    <row r="35" spans="1:18">
      <c r="A35" s="6" t="s">
        <v>147</v>
      </c>
      <c r="B35" s="326" t="s">
        <v>148</v>
      </c>
      <c r="C35" s="24"/>
      <c r="D35" s="23">
        <v>0</v>
      </c>
      <c r="E35" s="23"/>
      <c r="F35" s="345">
        <f>SUM(F36:F39)</f>
        <v>2992</v>
      </c>
      <c r="G35" s="346">
        <f>SUM(G36:G39)</f>
        <v>2850</v>
      </c>
      <c r="H35" s="345">
        <f>SUM(H36:H39)</f>
        <v>142</v>
      </c>
      <c r="I35" s="345">
        <f>SUM(I36:I39)</f>
        <v>0</v>
      </c>
      <c r="J35" s="345"/>
      <c r="K35" s="345"/>
      <c r="L35" s="345"/>
      <c r="M35" s="345"/>
      <c r="N35" s="345">
        <f>SUM(N36:N39)</f>
        <v>2992</v>
      </c>
      <c r="O35" s="345">
        <f>SUM(O36:O39)</f>
        <v>2850</v>
      </c>
      <c r="P35" s="345">
        <f>SUM(P36:P39)</f>
        <v>142</v>
      </c>
      <c r="Q35" s="345">
        <f>SUM(Q36:Q39)</f>
        <v>0</v>
      </c>
      <c r="R35" s="16"/>
    </row>
    <row r="36" spans="1:18" ht="90">
      <c r="A36" s="21">
        <v>3</v>
      </c>
      <c r="B36" s="329" t="s">
        <v>155</v>
      </c>
      <c r="C36" s="21" t="s">
        <v>156</v>
      </c>
      <c r="D36" s="21" t="s">
        <v>151</v>
      </c>
      <c r="E36" s="21" t="s">
        <v>53</v>
      </c>
      <c r="F36" s="130">
        <f t="shared" si="5"/>
        <v>998</v>
      </c>
      <c r="G36" s="289">
        <v>950</v>
      </c>
      <c r="H36" s="130">
        <v>48</v>
      </c>
      <c r="I36" s="15"/>
      <c r="J36" s="15"/>
      <c r="K36" s="15"/>
      <c r="L36" s="15"/>
      <c r="M36" s="15"/>
      <c r="N36" s="133">
        <f t="shared" si="6"/>
        <v>998</v>
      </c>
      <c r="O36" s="355">
        <f>+G36</f>
        <v>950</v>
      </c>
      <c r="P36" s="355">
        <f t="shared" ref="P36:Q36" si="19">+H36</f>
        <v>48</v>
      </c>
      <c r="Q36" s="355">
        <f t="shared" si="19"/>
        <v>0</v>
      </c>
      <c r="R36" s="15"/>
    </row>
    <row r="37" spans="1:18" ht="90">
      <c r="A37" s="21">
        <v>4</v>
      </c>
      <c r="B37" s="329" t="s">
        <v>157</v>
      </c>
      <c r="C37" s="21" t="s">
        <v>158</v>
      </c>
      <c r="D37" s="8" t="s">
        <v>159</v>
      </c>
      <c r="E37" s="21" t="s">
        <v>53</v>
      </c>
      <c r="F37" s="130">
        <f t="shared" si="5"/>
        <v>499</v>
      </c>
      <c r="G37" s="289">
        <v>475</v>
      </c>
      <c r="H37" s="130">
        <v>24</v>
      </c>
      <c r="I37" s="15">
        <v>0</v>
      </c>
      <c r="J37" s="15"/>
      <c r="K37" s="15"/>
      <c r="L37" s="15"/>
      <c r="M37" s="15"/>
      <c r="N37" s="133">
        <f t="shared" si="6"/>
        <v>499</v>
      </c>
      <c r="O37" s="355">
        <f t="shared" ref="O37:O39" si="20">+G37</f>
        <v>475</v>
      </c>
      <c r="P37" s="355">
        <f t="shared" ref="P37:P39" si="21">+H37</f>
        <v>24</v>
      </c>
      <c r="Q37" s="355">
        <f t="shared" ref="Q37:Q39" si="22">+I37</f>
        <v>0</v>
      </c>
      <c r="R37" s="15"/>
    </row>
    <row r="38" spans="1:18" ht="45">
      <c r="A38" s="21">
        <v>5</v>
      </c>
      <c r="B38" s="329" t="s">
        <v>160</v>
      </c>
      <c r="C38" s="21" t="s">
        <v>161</v>
      </c>
      <c r="D38" s="21" t="s">
        <v>162</v>
      </c>
      <c r="E38" s="21" t="s">
        <v>53</v>
      </c>
      <c r="F38" s="130">
        <f t="shared" si="5"/>
        <v>996</v>
      </c>
      <c r="G38" s="289">
        <v>950</v>
      </c>
      <c r="H38" s="130">
        <v>46</v>
      </c>
      <c r="I38" s="15">
        <v>0</v>
      </c>
      <c r="J38" s="15"/>
      <c r="K38" s="15"/>
      <c r="L38" s="15"/>
      <c r="M38" s="15"/>
      <c r="N38" s="133">
        <f t="shared" si="6"/>
        <v>996</v>
      </c>
      <c r="O38" s="355">
        <f t="shared" si="20"/>
        <v>950</v>
      </c>
      <c r="P38" s="355">
        <f t="shared" si="21"/>
        <v>46</v>
      </c>
      <c r="Q38" s="355">
        <f t="shared" si="22"/>
        <v>0</v>
      </c>
      <c r="R38" s="15"/>
    </row>
    <row r="39" spans="1:18" ht="45">
      <c r="A39" s="21">
        <v>6</v>
      </c>
      <c r="B39" s="329" t="s">
        <v>163</v>
      </c>
      <c r="C39" s="21" t="s">
        <v>164</v>
      </c>
      <c r="D39" s="21" t="s">
        <v>165</v>
      </c>
      <c r="E39" s="21" t="s">
        <v>53</v>
      </c>
      <c r="F39" s="130">
        <f t="shared" si="5"/>
        <v>499</v>
      </c>
      <c r="G39" s="289">
        <v>475</v>
      </c>
      <c r="H39" s="130">
        <v>24</v>
      </c>
      <c r="I39" s="15">
        <v>0</v>
      </c>
      <c r="J39" s="15"/>
      <c r="K39" s="15"/>
      <c r="L39" s="15"/>
      <c r="M39" s="15"/>
      <c r="N39" s="133">
        <f t="shared" si="6"/>
        <v>499</v>
      </c>
      <c r="O39" s="355">
        <f t="shared" si="20"/>
        <v>475</v>
      </c>
      <c r="P39" s="355">
        <f t="shared" si="21"/>
        <v>24</v>
      </c>
      <c r="Q39" s="355">
        <f t="shared" si="22"/>
        <v>0</v>
      </c>
      <c r="R39" s="15"/>
    </row>
    <row r="40" spans="1:18">
      <c r="A40" s="6" t="s">
        <v>185</v>
      </c>
      <c r="B40" s="326" t="s">
        <v>186</v>
      </c>
      <c r="C40" s="24"/>
      <c r="D40" s="23">
        <v>0</v>
      </c>
      <c r="E40" s="23"/>
      <c r="F40" s="345">
        <f>SUM(F41:F44)</f>
        <v>2808.75</v>
      </c>
      <c r="G40" s="346">
        <f>SUM(G41:G44)</f>
        <v>2675</v>
      </c>
      <c r="H40" s="345">
        <f>SUM(H41:H44)</f>
        <v>133.75</v>
      </c>
      <c r="I40" s="345">
        <f>SUM(I41:I44)</f>
        <v>0</v>
      </c>
      <c r="J40" s="345"/>
      <c r="K40" s="345"/>
      <c r="L40" s="345"/>
      <c r="M40" s="345"/>
      <c r="N40" s="345">
        <f>SUM(N41:N44)</f>
        <v>2808.75</v>
      </c>
      <c r="O40" s="345">
        <f>SUM(O41:O44)</f>
        <v>2675</v>
      </c>
      <c r="P40" s="345">
        <f>SUM(P41:P44)</f>
        <v>133.75</v>
      </c>
      <c r="Q40" s="345">
        <f>SUM(Q41:Q44)</f>
        <v>0</v>
      </c>
      <c r="R40" s="16"/>
    </row>
    <row r="41" spans="1:18" ht="90">
      <c r="A41" s="8">
        <v>4</v>
      </c>
      <c r="B41" s="328" t="s">
        <v>195</v>
      </c>
      <c r="C41" s="8" t="s">
        <v>196</v>
      </c>
      <c r="D41" s="22" t="s">
        <v>798</v>
      </c>
      <c r="E41" s="21" t="s">
        <v>53</v>
      </c>
      <c r="F41" s="130">
        <f t="shared" si="5"/>
        <v>414.75</v>
      </c>
      <c r="G41" s="289">
        <v>395</v>
      </c>
      <c r="H41" s="130">
        <f>G41*5%</f>
        <v>19.75</v>
      </c>
      <c r="I41" s="15"/>
      <c r="J41" s="15"/>
      <c r="K41" s="15"/>
      <c r="L41" s="15"/>
      <c r="M41" s="15"/>
      <c r="N41" s="133">
        <f t="shared" si="6"/>
        <v>414.75</v>
      </c>
      <c r="O41" s="355">
        <f>+G41</f>
        <v>395</v>
      </c>
      <c r="P41" s="355">
        <f t="shared" ref="P41:Q41" si="23">+H41</f>
        <v>19.75</v>
      </c>
      <c r="Q41" s="355">
        <f t="shared" si="23"/>
        <v>0</v>
      </c>
      <c r="R41" s="8" t="s">
        <v>197</v>
      </c>
    </row>
    <row r="42" spans="1:18" ht="90">
      <c r="A42" s="141">
        <v>5</v>
      </c>
      <c r="B42" s="325" t="s">
        <v>198</v>
      </c>
      <c r="C42" s="141" t="s">
        <v>199</v>
      </c>
      <c r="D42" s="150" t="s">
        <v>200</v>
      </c>
      <c r="E42" s="151" t="s">
        <v>53</v>
      </c>
      <c r="F42" s="143">
        <f t="shared" si="5"/>
        <v>1575</v>
      </c>
      <c r="G42" s="292">
        <v>1500</v>
      </c>
      <c r="H42" s="143">
        <v>75</v>
      </c>
      <c r="I42" s="145">
        <v>0</v>
      </c>
      <c r="J42" s="145"/>
      <c r="K42" s="145"/>
      <c r="L42" s="145"/>
      <c r="M42" s="145"/>
      <c r="N42" s="144">
        <f t="shared" ref="N42:N68" si="24">O42+P42</f>
        <v>1575</v>
      </c>
      <c r="O42" s="355">
        <f t="shared" ref="O42:O44" si="25">+G42</f>
        <v>1500</v>
      </c>
      <c r="P42" s="355">
        <f t="shared" ref="P42:P44" si="26">+H42</f>
        <v>75</v>
      </c>
      <c r="Q42" s="355">
        <f t="shared" ref="Q42:Q44" si="27">+I42</f>
        <v>0</v>
      </c>
      <c r="R42" s="141" t="s">
        <v>201</v>
      </c>
    </row>
    <row r="43" spans="1:18" ht="45">
      <c r="A43" s="8">
        <v>6</v>
      </c>
      <c r="B43" s="328" t="s">
        <v>799</v>
      </c>
      <c r="C43" s="8" t="s">
        <v>800</v>
      </c>
      <c r="D43" s="8" t="s">
        <v>801</v>
      </c>
      <c r="E43" s="21" t="s">
        <v>53</v>
      </c>
      <c r="F43" s="130">
        <f>G43+H43</f>
        <v>504</v>
      </c>
      <c r="G43" s="289">
        <v>480</v>
      </c>
      <c r="H43" s="130">
        <f>G43*5%</f>
        <v>24</v>
      </c>
      <c r="I43" s="15"/>
      <c r="J43" s="15"/>
      <c r="K43" s="15"/>
      <c r="L43" s="15"/>
      <c r="M43" s="15"/>
      <c r="N43" s="133">
        <f t="shared" si="24"/>
        <v>504</v>
      </c>
      <c r="O43" s="355">
        <f t="shared" si="25"/>
        <v>480</v>
      </c>
      <c r="P43" s="355">
        <f t="shared" si="26"/>
        <v>24</v>
      </c>
      <c r="Q43" s="355">
        <f t="shared" si="27"/>
        <v>0</v>
      </c>
      <c r="R43" s="15"/>
    </row>
    <row r="44" spans="1:18" ht="90">
      <c r="A44" s="8">
        <v>7</v>
      </c>
      <c r="B44" s="328" t="s">
        <v>209</v>
      </c>
      <c r="C44" s="8" t="s">
        <v>210</v>
      </c>
      <c r="D44" s="8" t="s">
        <v>211</v>
      </c>
      <c r="E44" s="21" t="s">
        <v>53</v>
      </c>
      <c r="F44" s="130">
        <f>G44+H44</f>
        <v>315</v>
      </c>
      <c r="G44" s="289">
        <v>300</v>
      </c>
      <c r="H44" s="130">
        <f>G44*5%</f>
        <v>15</v>
      </c>
      <c r="I44" s="15"/>
      <c r="J44" s="15"/>
      <c r="K44" s="15"/>
      <c r="L44" s="15"/>
      <c r="M44" s="15"/>
      <c r="N44" s="133">
        <f>+O44+P44+Q44</f>
        <v>315</v>
      </c>
      <c r="O44" s="355">
        <f t="shared" si="25"/>
        <v>300</v>
      </c>
      <c r="P44" s="355">
        <f t="shared" si="26"/>
        <v>15</v>
      </c>
      <c r="Q44" s="355">
        <f t="shared" si="27"/>
        <v>0</v>
      </c>
      <c r="R44" s="15"/>
    </row>
    <row r="45" spans="1:18">
      <c r="A45" s="6" t="s">
        <v>222</v>
      </c>
      <c r="B45" s="332" t="s">
        <v>223</v>
      </c>
      <c r="C45" s="24"/>
      <c r="D45" s="23">
        <v>0</v>
      </c>
      <c r="E45" s="23"/>
      <c r="F45" s="350">
        <f>SUM(F46:F51)</f>
        <v>2610.9499999999998</v>
      </c>
      <c r="G45" s="350">
        <f t="shared" ref="G45:I45" si="28">SUM(G46:G51)</f>
        <v>2483.85</v>
      </c>
      <c r="H45" s="350">
        <f t="shared" si="28"/>
        <v>127.1</v>
      </c>
      <c r="I45" s="350">
        <f t="shared" si="28"/>
        <v>0</v>
      </c>
      <c r="J45" s="350">
        <f>SUM(J46:J51)</f>
        <v>272.39999999999998</v>
      </c>
      <c r="K45" s="350">
        <f t="shared" ref="K45" si="29">SUM(K46:K51)</f>
        <v>258</v>
      </c>
      <c r="L45" s="350">
        <f t="shared" ref="L45" si="30">SUM(L46:L51)</f>
        <v>14.4</v>
      </c>
      <c r="M45" s="350">
        <f t="shared" ref="M45" si="31">SUM(M46:M51)</f>
        <v>0</v>
      </c>
      <c r="N45" s="350">
        <f>SUM(N46:N51)</f>
        <v>2338.5500000000002</v>
      </c>
      <c r="O45" s="350">
        <f t="shared" ref="O45:Q45" si="32">SUM(O46:O51)</f>
        <v>2225.85</v>
      </c>
      <c r="P45" s="350">
        <f t="shared" si="32"/>
        <v>112.7</v>
      </c>
      <c r="Q45" s="350">
        <f t="shared" si="32"/>
        <v>0</v>
      </c>
      <c r="R45" s="16"/>
    </row>
    <row r="46" spans="1:18" ht="90">
      <c r="A46" s="357"/>
      <c r="B46" s="327" t="s">
        <v>227</v>
      </c>
      <c r="C46" s="135" t="s">
        <v>228</v>
      </c>
      <c r="D46" s="135" t="s">
        <v>229</v>
      </c>
      <c r="E46" s="140" t="s">
        <v>916</v>
      </c>
      <c r="F46" s="136">
        <f t="shared" ref="F46" si="33">G46+H46</f>
        <v>629.85</v>
      </c>
      <c r="G46" s="293">
        <v>599.85</v>
      </c>
      <c r="H46" s="136">
        <v>30</v>
      </c>
      <c r="I46" s="358">
        <v>0</v>
      </c>
      <c r="J46" s="390">
        <f>+K46+L46+M46</f>
        <v>272.39999999999998</v>
      </c>
      <c r="K46" s="390">
        <v>258</v>
      </c>
      <c r="L46" s="136">
        <v>14.4</v>
      </c>
      <c r="M46" s="350">
        <v>0</v>
      </c>
      <c r="N46" s="350">
        <f>+O46+P46+Q46</f>
        <v>357.45000000000005</v>
      </c>
      <c r="O46" s="350">
        <f>+G46-K46</f>
        <v>341.85</v>
      </c>
      <c r="P46" s="350">
        <f>+H46-L46</f>
        <v>15.6</v>
      </c>
      <c r="Q46" s="350">
        <v>0</v>
      </c>
      <c r="R46" s="16"/>
    </row>
    <row r="47" spans="1:18" ht="75">
      <c r="A47" s="141">
        <v>4</v>
      </c>
      <c r="B47" s="325" t="s">
        <v>232</v>
      </c>
      <c r="C47" s="141" t="s">
        <v>225</v>
      </c>
      <c r="D47" s="141" t="s">
        <v>226</v>
      </c>
      <c r="E47" s="151" t="s">
        <v>53</v>
      </c>
      <c r="F47" s="143">
        <f t="shared" ref="F47:F68" si="34">G47+H47</f>
        <v>357</v>
      </c>
      <c r="G47" s="292">
        <v>342</v>
      </c>
      <c r="H47" s="143">
        <v>15</v>
      </c>
      <c r="I47" s="145"/>
      <c r="J47" s="145"/>
      <c r="K47" s="145"/>
      <c r="L47" s="145"/>
      <c r="M47" s="145"/>
      <c r="N47" s="144">
        <f t="shared" si="24"/>
        <v>357</v>
      </c>
      <c r="O47" s="354">
        <f>+G47</f>
        <v>342</v>
      </c>
      <c r="P47" s="354">
        <f t="shared" ref="P47:Q47" si="35">+H47</f>
        <v>15</v>
      </c>
      <c r="Q47" s="354">
        <f t="shared" si="35"/>
        <v>0</v>
      </c>
      <c r="R47" s="145"/>
    </row>
    <row r="48" spans="1:18" ht="90">
      <c r="A48" s="141">
        <v>5</v>
      </c>
      <c r="B48" s="325" t="s">
        <v>233</v>
      </c>
      <c r="C48" s="141" t="s">
        <v>231</v>
      </c>
      <c r="D48" s="141" t="s">
        <v>110</v>
      </c>
      <c r="E48" s="151" t="s">
        <v>53</v>
      </c>
      <c r="F48" s="143">
        <f t="shared" si="34"/>
        <v>359.1</v>
      </c>
      <c r="G48" s="292">
        <v>342</v>
      </c>
      <c r="H48" s="143">
        <v>17.100000000000001</v>
      </c>
      <c r="I48" s="145"/>
      <c r="J48" s="145"/>
      <c r="K48" s="145"/>
      <c r="L48" s="145"/>
      <c r="M48" s="145"/>
      <c r="N48" s="144">
        <f t="shared" si="24"/>
        <v>359.1</v>
      </c>
      <c r="O48" s="354">
        <f t="shared" ref="O48:O51" si="36">+G48</f>
        <v>342</v>
      </c>
      <c r="P48" s="354">
        <f t="shared" ref="P48:P51" si="37">+H48</f>
        <v>17.100000000000001</v>
      </c>
      <c r="Q48" s="354">
        <f t="shared" ref="Q48:Q51" si="38">+I48</f>
        <v>0</v>
      </c>
      <c r="R48" s="145"/>
    </row>
    <row r="49" spans="1:18" ht="105">
      <c r="A49" s="141">
        <v>6</v>
      </c>
      <c r="B49" s="325" t="s">
        <v>234</v>
      </c>
      <c r="C49" s="141" t="s">
        <v>231</v>
      </c>
      <c r="D49" s="141" t="s">
        <v>235</v>
      </c>
      <c r="E49" s="151" t="s">
        <v>53</v>
      </c>
      <c r="F49" s="143">
        <f t="shared" si="34"/>
        <v>320</v>
      </c>
      <c r="G49" s="292">
        <v>300</v>
      </c>
      <c r="H49" s="143">
        <v>20</v>
      </c>
      <c r="I49" s="145"/>
      <c r="J49" s="145"/>
      <c r="K49" s="145"/>
      <c r="L49" s="145"/>
      <c r="M49" s="145"/>
      <c r="N49" s="144">
        <f t="shared" si="24"/>
        <v>320</v>
      </c>
      <c r="O49" s="354">
        <f t="shared" si="36"/>
        <v>300</v>
      </c>
      <c r="P49" s="354">
        <f t="shared" si="37"/>
        <v>20</v>
      </c>
      <c r="Q49" s="354">
        <f t="shared" si="38"/>
        <v>0</v>
      </c>
      <c r="R49" s="145"/>
    </row>
    <row r="50" spans="1:18" ht="60">
      <c r="A50" s="141">
        <v>7</v>
      </c>
      <c r="B50" s="325" t="s">
        <v>236</v>
      </c>
      <c r="C50" s="141" t="s">
        <v>228</v>
      </c>
      <c r="D50" s="141" t="s">
        <v>237</v>
      </c>
      <c r="E50" s="151" t="s">
        <v>53</v>
      </c>
      <c r="F50" s="143">
        <f t="shared" si="34"/>
        <v>630</v>
      </c>
      <c r="G50" s="292">
        <v>600</v>
      </c>
      <c r="H50" s="143">
        <v>30</v>
      </c>
      <c r="I50" s="145"/>
      <c r="J50" s="145"/>
      <c r="K50" s="145"/>
      <c r="L50" s="145"/>
      <c r="M50" s="145"/>
      <c r="N50" s="144">
        <f t="shared" si="24"/>
        <v>630</v>
      </c>
      <c r="O50" s="354">
        <f t="shared" si="36"/>
        <v>600</v>
      </c>
      <c r="P50" s="354">
        <f t="shared" si="37"/>
        <v>30</v>
      </c>
      <c r="Q50" s="354">
        <f t="shared" si="38"/>
        <v>0</v>
      </c>
      <c r="R50" s="145"/>
    </row>
    <row r="51" spans="1:18" ht="105">
      <c r="A51" s="141">
        <v>8</v>
      </c>
      <c r="B51" s="325" t="s">
        <v>238</v>
      </c>
      <c r="C51" s="141" t="s">
        <v>225</v>
      </c>
      <c r="D51" s="141" t="s">
        <v>239</v>
      </c>
      <c r="E51" s="151" t="s">
        <v>53</v>
      </c>
      <c r="F51" s="143">
        <f t="shared" si="34"/>
        <v>315</v>
      </c>
      <c r="G51" s="292">
        <v>300</v>
      </c>
      <c r="H51" s="143">
        <v>15</v>
      </c>
      <c r="I51" s="145"/>
      <c r="J51" s="145"/>
      <c r="K51" s="145"/>
      <c r="L51" s="145"/>
      <c r="M51" s="145"/>
      <c r="N51" s="144">
        <f t="shared" si="24"/>
        <v>315</v>
      </c>
      <c r="O51" s="354">
        <f t="shared" si="36"/>
        <v>300</v>
      </c>
      <c r="P51" s="354">
        <f t="shared" si="37"/>
        <v>15</v>
      </c>
      <c r="Q51" s="354">
        <f t="shared" si="38"/>
        <v>0</v>
      </c>
      <c r="R51" s="145"/>
    </row>
    <row r="52" spans="1:18">
      <c r="A52" s="152" t="s">
        <v>245</v>
      </c>
      <c r="B52" s="333" t="s">
        <v>246</v>
      </c>
      <c r="C52" s="153"/>
      <c r="D52" s="154">
        <v>0</v>
      </c>
      <c r="E52" s="154"/>
      <c r="F52" s="350">
        <f>SUM(F53:F58)</f>
        <v>3690.75</v>
      </c>
      <c r="G52" s="350">
        <f t="shared" ref="G52:Q52" si="39">SUM(G53:G58)</f>
        <v>3515</v>
      </c>
      <c r="H52" s="350">
        <f t="shared" si="39"/>
        <v>175.75</v>
      </c>
      <c r="I52" s="350">
        <f t="shared" si="39"/>
        <v>0</v>
      </c>
      <c r="J52" s="350">
        <f t="shared" si="39"/>
        <v>698.6</v>
      </c>
      <c r="K52" s="350">
        <f t="shared" si="39"/>
        <v>662.1</v>
      </c>
      <c r="L52" s="350">
        <f t="shared" si="39"/>
        <v>36.5</v>
      </c>
      <c r="M52" s="350">
        <f t="shared" si="39"/>
        <v>0</v>
      </c>
      <c r="N52" s="350">
        <f t="shared" si="39"/>
        <v>2992.15</v>
      </c>
      <c r="O52" s="350">
        <f t="shared" si="39"/>
        <v>2852.9</v>
      </c>
      <c r="P52" s="350">
        <f t="shared" si="39"/>
        <v>139.25</v>
      </c>
      <c r="Q52" s="350">
        <f t="shared" si="39"/>
        <v>0</v>
      </c>
      <c r="R52" s="155"/>
    </row>
    <row r="53" spans="1:18" ht="47.25" customHeight="1">
      <c r="A53" s="152"/>
      <c r="B53" s="334" t="s">
        <v>813</v>
      </c>
      <c r="C53" s="160" t="s">
        <v>814</v>
      </c>
      <c r="D53" s="160" t="s">
        <v>909</v>
      </c>
      <c r="E53" s="135" t="s">
        <v>916</v>
      </c>
      <c r="F53" s="160">
        <f>G53+H53</f>
        <v>766.5</v>
      </c>
      <c r="G53" s="294">
        <v>730</v>
      </c>
      <c r="H53" s="160">
        <v>36.5</v>
      </c>
      <c r="I53" s="160"/>
      <c r="J53" s="160">
        <f>K53+L53</f>
        <v>698.6</v>
      </c>
      <c r="K53" s="160">
        <v>662.1</v>
      </c>
      <c r="L53" s="160">
        <v>36.5</v>
      </c>
      <c r="M53" s="135"/>
      <c r="N53" s="136">
        <f>+O53+P53</f>
        <v>67.899999999999977</v>
      </c>
      <c r="O53" s="136">
        <f>+G53-K53</f>
        <v>67.899999999999977</v>
      </c>
      <c r="P53" s="136">
        <f>+H53-L53</f>
        <v>0</v>
      </c>
      <c r="Q53" s="136">
        <v>0</v>
      </c>
      <c r="R53" s="352"/>
    </row>
    <row r="54" spans="1:18" ht="90">
      <c r="A54" s="141">
        <v>5</v>
      </c>
      <c r="B54" s="325" t="s">
        <v>247</v>
      </c>
      <c r="C54" s="141" t="s">
        <v>248</v>
      </c>
      <c r="D54" s="141" t="s">
        <v>208</v>
      </c>
      <c r="E54" s="141">
        <v>2023</v>
      </c>
      <c r="F54" s="143">
        <f t="shared" ref="F54" si="40">G54+H54</f>
        <v>315</v>
      </c>
      <c r="G54" s="292">
        <v>300</v>
      </c>
      <c r="H54" s="143">
        <v>15</v>
      </c>
      <c r="I54" s="145"/>
      <c r="J54" s="145"/>
      <c r="K54" s="145"/>
      <c r="L54" s="145"/>
      <c r="M54" s="145"/>
      <c r="N54" s="144">
        <f t="shared" ref="N54" si="41">O54+P54</f>
        <v>315</v>
      </c>
      <c r="O54" s="354">
        <f>+G54</f>
        <v>300</v>
      </c>
      <c r="P54" s="354">
        <f t="shared" ref="P54:Q54" si="42">+H54</f>
        <v>15</v>
      </c>
      <c r="Q54" s="354">
        <f t="shared" si="42"/>
        <v>0</v>
      </c>
      <c r="R54" s="141" t="s">
        <v>201</v>
      </c>
    </row>
    <row r="55" spans="1:18" ht="90">
      <c r="A55" s="141">
        <v>6</v>
      </c>
      <c r="B55" s="325" t="s">
        <v>249</v>
      </c>
      <c r="C55" s="141" t="s">
        <v>250</v>
      </c>
      <c r="D55" s="141" t="s">
        <v>251</v>
      </c>
      <c r="E55" s="141" t="s">
        <v>53</v>
      </c>
      <c r="F55" s="143">
        <f t="shared" si="34"/>
        <v>945</v>
      </c>
      <c r="G55" s="292">
        <v>900</v>
      </c>
      <c r="H55" s="143">
        <v>45</v>
      </c>
      <c r="I55" s="145"/>
      <c r="J55" s="145"/>
      <c r="K55" s="145"/>
      <c r="L55" s="145"/>
      <c r="M55" s="145"/>
      <c r="N55" s="144">
        <f t="shared" si="24"/>
        <v>945</v>
      </c>
      <c r="O55" s="354">
        <f t="shared" ref="O55:O58" si="43">+G55</f>
        <v>900</v>
      </c>
      <c r="P55" s="354">
        <f t="shared" ref="P55:P58" si="44">+H55</f>
        <v>45</v>
      </c>
      <c r="Q55" s="354">
        <f t="shared" ref="Q55:Q58" si="45">+I55</f>
        <v>0</v>
      </c>
      <c r="R55" s="141" t="s">
        <v>201</v>
      </c>
    </row>
    <row r="56" spans="1:18" ht="90">
      <c r="A56" s="141">
        <v>7</v>
      </c>
      <c r="B56" s="325" t="s">
        <v>252</v>
      </c>
      <c r="C56" s="141" t="s">
        <v>253</v>
      </c>
      <c r="D56" s="141" t="s">
        <v>159</v>
      </c>
      <c r="E56" s="141" t="s">
        <v>53</v>
      </c>
      <c r="F56" s="143">
        <f t="shared" si="34"/>
        <v>420</v>
      </c>
      <c r="G56" s="292">
        <v>400</v>
      </c>
      <c r="H56" s="143">
        <v>20</v>
      </c>
      <c r="I56" s="145"/>
      <c r="J56" s="145"/>
      <c r="K56" s="145"/>
      <c r="L56" s="145"/>
      <c r="M56" s="145"/>
      <c r="N56" s="144">
        <f t="shared" si="24"/>
        <v>420</v>
      </c>
      <c r="O56" s="354">
        <f t="shared" si="43"/>
        <v>400</v>
      </c>
      <c r="P56" s="354">
        <f t="shared" si="44"/>
        <v>20</v>
      </c>
      <c r="Q56" s="354">
        <f t="shared" si="45"/>
        <v>0</v>
      </c>
      <c r="R56" s="141" t="s">
        <v>201</v>
      </c>
    </row>
    <row r="57" spans="1:18" ht="90">
      <c r="A57" s="141">
        <v>8</v>
      </c>
      <c r="B57" s="325" t="s">
        <v>254</v>
      </c>
      <c r="C57" s="141" t="s">
        <v>255</v>
      </c>
      <c r="D57" s="141" t="s">
        <v>256</v>
      </c>
      <c r="E57" s="141" t="s">
        <v>53</v>
      </c>
      <c r="F57" s="143">
        <f t="shared" si="34"/>
        <v>404.25</v>
      </c>
      <c r="G57" s="292">
        <v>385</v>
      </c>
      <c r="H57" s="143">
        <v>19.25</v>
      </c>
      <c r="I57" s="145"/>
      <c r="J57" s="145"/>
      <c r="K57" s="145"/>
      <c r="L57" s="145"/>
      <c r="M57" s="145"/>
      <c r="N57" s="144">
        <f t="shared" si="24"/>
        <v>404.25</v>
      </c>
      <c r="O57" s="354">
        <f t="shared" si="43"/>
        <v>385</v>
      </c>
      <c r="P57" s="354">
        <f t="shared" si="44"/>
        <v>19.25</v>
      </c>
      <c r="Q57" s="354">
        <f t="shared" si="45"/>
        <v>0</v>
      </c>
      <c r="R57" s="141" t="s">
        <v>201</v>
      </c>
    </row>
    <row r="58" spans="1:18" ht="60">
      <c r="A58" s="141">
        <v>9</v>
      </c>
      <c r="B58" s="325" t="s">
        <v>257</v>
      </c>
      <c r="C58" s="141" t="s">
        <v>258</v>
      </c>
      <c r="D58" s="150" t="s">
        <v>259</v>
      </c>
      <c r="E58" s="141" t="s">
        <v>53</v>
      </c>
      <c r="F58" s="143">
        <f t="shared" si="34"/>
        <v>840</v>
      </c>
      <c r="G58" s="292">
        <v>800</v>
      </c>
      <c r="H58" s="143">
        <v>40</v>
      </c>
      <c r="I58" s="145"/>
      <c r="J58" s="145"/>
      <c r="K58" s="145"/>
      <c r="L58" s="145"/>
      <c r="M58" s="145"/>
      <c r="N58" s="144">
        <f t="shared" si="24"/>
        <v>840</v>
      </c>
      <c r="O58" s="354">
        <f t="shared" si="43"/>
        <v>800</v>
      </c>
      <c r="P58" s="354">
        <f t="shared" si="44"/>
        <v>40</v>
      </c>
      <c r="Q58" s="354">
        <f t="shared" si="45"/>
        <v>0</v>
      </c>
      <c r="R58" s="141" t="s">
        <v>197</v>
      </c>
    </row>
    <row r="59" spans="1:18">
      <c r="A59" s="25" t="s">
        <v>274</v>
      </c>
      <c r="B59" s="335" t="s">
        <v>275</v>
      </c>
      <c r="C59" s="26"/>
      <c r="D59" s="23">
        <v>0</v>
      </c>
      <c r="E59" s="23"/>
      <c r="F59" s="345">
        <f>SUM(F60:F64)</f>
        <v>3570</v>
      </c>
      <c r="G59" s="346">
        <f>SUM(G60:G64)</f>
        <v>3400</v>
      </c>
      <c r="H59" s="345">
        <f>SUM(H60:H64)</f>
        <v>170</v>
      </c>
      <c r="I59" s="345">
        <f>SUM(I60:I64)</f>
        <v>0</v>
      </c>
      <c r="J59" s="345"/>
      <c r="K59" s="345"/>
      <c r="L59" s="345"/>
      <c r="M59" s="345"/>
      <c r="N59" s="345">
        <f>SUM(N60:N64)</f>
        <v>3570</v>
      </c>
      <c r="O59" s="345">
        <f>SUM(O60:O64)</f>
        <v>3400</v>
      </c>
      <c r="P59" s="345">
        <f>SUM(P60:P64)</f>
        <v>170</v>
      </c>
      <c r="Q59" s="345">
        <f>SUM(Q60:Q64)</f>
        <v>0</v>
      </c>
      <c r="R59" s="16"/>
    </row>
    <row r="60" spans="1:18" ht="90">
      <c r="A60" s="27">
        <v>4</v>
      </c>
      <c r="B60" s="336" t="s">
        <v>284</v>
      </c>
      <c r="C60" s="27" t="s">
        <v>285</v>
      </c>
      <c r="D60" s="8" t="s">
        <v>286</v>
      </c>
      <c r="E60" s="27" t="s">
        <v>53</v>
      </c>
      <c r="F60" s="130">
        <f t="shared" si="34"/>
        <v>525</v>
      </c>
      <c r="G60" s="289">
        <v>500</v>
      </c>
      <c r="H60" s="130">
        <v>25</v>
      </c>
      <c r="I60" s="15">
        <v>0</v>
      </c>
      <c r="J60" s="15"/>
      <c r="K60" s="15"/>
      <c r="L60" s="15"/>
      <c r="M60" s="15"/>
      <c r="N60" s="133">
        <f t="shared" si="24"/>
        <v>525</v>
      </c>
      <c r="O60" s="355">
        <f>+G60</f>
        <v>500</v>
      </c>
      <c r="P60" s="355">
        <f t="shared" ref="P60:Q60" si="46">+H60</f>
        <v>25</v>
      </c>
      <c r="Q60" s="355">
        <f t="shared" si="46"/>
        <v>0</v>
      </c>
      <c r="R60" s="15"/>
    </row>
    <row r="61" spans="1:18" ht="90">
      <c r="A61" s="27">
        <v>5</v>
      </c>
      <c r="B61" s="336" t="s">
        <v>287</v>
      </c>
      <c r="C61" s="27" t="s">
        <v>288</v>
      </c>
      <c r="D61" s="8" t="s">
        <v>289</v>
      </c>
      <c r="E61" s="27" t="s">
        <v>53</v>
      </c>
      <c r="F61" s="130">
        <f t="shared" si="34"/>
        <v>630</v>
      </c>
      <c r="G61" s="289">
        <v>600</v>
      </c>
      <c r="H61" s="130">
        <v>30</v>
      </c>
      <c r="I61" s="15">
        <v>0</v>
      </c>
      <c r="J61" s="15"/>
      <c r="K61" s="15"/>
      <c r="L61" s="15"/>
      <c r="M61" s="15"/>
      <c r="N61" s="133">
        <f t="shared" si="24"/>
        <v>630</v>
      </c>
      <c r="O61" s="355">
        <f t="shared" ref="O61:O64" si="47">+G61</f>
        <v>600</v>
      </c>
      <c r="P61" s="355">
        <f t="shared" ref="P61:P64" si="48">+H61</f>
        <v>30</v>
      </c>
      <c r="Q61" s="355">
        <f t="shared" ref="Q61:Q64" si="49">+I61</f>
        <v>0</v>
      </c>
      <c r="R61" s="15"/>
    </row>
    <row r="62" spans="1:18" ht="90">
      <c r="A62" s="27">
        <v>6</v>
      </c>
      <c r="B62" s="336" t="s">
        <v>290</v>
      </c>
      <c r="C62" s="27" t="s">
        <v>291</v>
      </c>
      <c r="D62" s="8" t="s">
        <v>281</v>
      </c>
      <c r="E62" s="27" t="s">
        <v>53</v>
      </c>
      <c r="F62" s="130">
        <f t="shared" si="34"/>
        <v>420</v>
      </c>
      <c r="G62" s="289">
        <v>400</v>
      </c>
      <c r="H62" s="130">
        <v>20</v>
      </c>
      <c r="I62" s="15">
        <v>0</v>
      </c>
      <c r="J62" s="15"/>
      <c r="K62" s="15"/>
      <c r="L62" s="15"/>
      <c r="M62" s="15"/>
      <c r="N62" s="133">
        <f t="shared" si="24"/>
        <v>420</v>
      </c>
      <c r="O62" s="355">
        <f t="shared" si="47"/>
        <v>400</v>
      </c>
      <c r="P62" s="355">
        <f t="shared" si="48"/>
        <v>20</v>
      </c>
      <c r="Q62" s="355">
        <f t="shared" si="49"/>
        <v>0</v>
      </c>
      <c r="R62" s="15"/>
    </row>
    <row r="63" spans="1:18" ht="90">
      <c r="A63" s="27">
        <v>7</v>
      </c>
      <c r="B63" s="336" t="s">
        <v>292</v>
      </c>
      <c r="C63" s="27" t="s">
        <v>275</v>
      </c>
      <c r="D63" s="8" t="s">
        <v>104</v>
      </c>
      <c r="E63" s="27" t="s">
        <v>53</v>
      </c>
      <c r="F63" s="130">
        <f t="shared" si="34"/>
        <v>735</v>
      </c>
      <c r="G63" s="289">
        <v>700</v>
      </c>
      <c r="H63" s="130">
        <v>35</v>
      </c>
      <c r="I63" s="15">
        <v>0</v>
      </c>
      <c r="J63" s="15"/>
      <c r="K63" s="15"/>
      <c r="L63" s="15"/>
      <c r="M63" s="15"/>
      <c r="N63" s="133">
        <f t="shared" si="24"/>
        <v>735</v>
      </c>
      <c r="O63" s="355">
        <f t="shared" si="47"/>
        <v>700</v>
      </c>
      <c r="P63" s="355">
        <f t="shared" si="48"/>
        <v>35</v>
      </c>
      <c r="Q63" s="355">
        <f t="shared" si="49"/>
        <v>0</v>
      </c>
      <c r="R63" s="15"/>
    </row>
    <row r="64" spans="1:18" ht="90">
      <c r="A64" s="27">
        <v>8</v>
      </c>
      <c r="B64" s="336" t="s">
        <v>293</v>
      </c>
      <c r="C64" s="27" t="s">
        <v>288</v>
      </c>
      <c r="D64" s="8" t="s">
        <v>278</v>
      </c>
      <c r="E64" s="27" t="s">
        <v>53</v>
      </c>
      <c r="F64" s="130">
        <f t="shared" si="34"/>
        <v>1260</v>
      </c>
      <c r="G64" s="289">
        <v>1200</v>
      </c>
      <c r="H64" s="130">
        <v>60</v>
      </c>
      <c r="I64" s="15">
        <v>0</v>
      </c>
      <c r="J64" s="15"/>
      <c r="K64" s="15"/>
      <c r="L64" s="15"/>
      <c r="M64" s="15"/>
      <c r="N64" s="133">
        <f t="shared" si="24"/>
        <v>1260</v>
      </c>
      <c r="O64" s="355">
        <f t="shared" si="47"/>
        <v>1200</v>
      </c>
      <c r="P64" s="355">
        <f t="shared" si="48"/>
        <v>60</v>
      </c>
      <c r="Q64" s="355">
        <f t="shared" si="49"/>
        <v>0</v>
      </c>
      <c r="R64" s="15"/>
    </row>
    <row r="65" spans="1:19">
      <c r="A65" s="6" t="s">
        <v>302</v>
      </c>
      <c r="B65" s="326" t="s">
        <v>303</v>
      </c>
      <c r="C65" s="24"/>
      <c r="D65" s="23">
        <v>0</v>
      </c>
      <c r="E65" s="23"/>
      <c r="F65" s="345">
        <f>SUM(F66:F68)</f>
        <v>3031.25</v>
      </c>
      <c r="G65" s="346">
        <f>SUM(G66:G68)</f>
        <v>2887</v>
      </c>
      <c r="H65" s="345">
        <f>SUM(H66:H68)</f>
        <v>144.25</v>
      </c>
      <c r="I65" s="345">
        <f>SUM(I66:I68)</f>
        <v>0</v>
      </c>
      <c r="J65" s="345"/>
      <c r="K65" s="345"/>
      <c r="L65" s="345"/>
      <c r="M65" s="345"/>
      <c r="N65" s="345">
        <f>SUM(N66:N68)</f>
        <v>3031.25</v>
      </c>
      <c r="O65" s="345">
        <f>SUM(O66:O68)</f>
        <v>2887</v>
      </c>
      <c r="P65" s="345">
        <f>SUM(P66:P68)</f>
        <v>144.25</v>
      </c>
      <c r="Q65" s="345">
        <f>SUM(Q66:Q68)</f>
        <v>0</v>
      </c>
      <c r="R65" s="347"/>
    </row>
    <row r="66" spans="1:19" ht="90">
      <c r="A66" s="8">
        <v>2</v>
      </c>
      <c r="B66" s="328" t="s">
        <v>306</v>
      </c>
      <c r="C66" s="8" t="s">
        <v>307</v>
      </c>
      <c r="D66" s="8" t="s">
        <v>308</v>
      </c>
      <c r="E66" s="8" t="s">
        <v>53</v>
      </c>
      <c r="F66" s="130">
        <f t="shared" si="34"/>
        <v>2191.25</v>
      </c>
      <c r="G66" s="289">
        <v>2087</v>
      </c>
      <c r="H66" s="130">
        <v>104.25</v>
      </c>
      <c r="I66" s="15">
        <v>0</v>
      </c>
      <c r="J66" s="15"/>
      <c r="K66" s="15"/>
      <c r="L66" s="15"/>
      <c r="M66" s="15"/>
      <c r="N66" s="133">
        <f t="shared" si="24"/>
        <v>2191.25</v>
      </c>
      <c r="O66" s="355">
        <f>+G66</f>
        <v>2087</v>
      </c>
      <c r="P66" s="355">
        <f t="shared" ref="P66:Q66" si="50">+H66</f>
        <v>104.25</v>
      </c>
      <c r="Q66" s="355">
        <f t="shared" si="50"/>
        <v>0</v>
      </c>
      <c r="R66" s="15"/>
    </row>
    <row r="67" spans="1:19" ht="60">
      <c r="A67" s="8">
        <v>3</v>
      </c>
      <c r="B67" s="328" t="s">
        <v>309</v>
      </c>
      <c r="C67" s="8" t="s">
        <v>310</v>
      </c>
      <c r="D67" s="8" t="s">
        <v>311</v>
      </c>
      <c r="E67" s="8" t="s">
        <v>53</v>
      </c>
      <c r="F67" s="130">
        <f t="shared" si="34"/>
        <v>420</v>
      </c>
      <c r="G67" s="289">
        <v>400</v>
      </c>
      <c r="H67" s="130">
        <v>20</v>
      </c>
      <c r="I67" s="15">
        <v>0</v>
      </c>
      <c r="J67" s="15"/>
      <c r="K67" s="15"/>
      <c r="L67" s="15"/>
      <c r="M67" s="15"/>
      <c r="N67" s="133">
        <f t="shared" si="24"/>
        <v>420</v>
      </c>
      <c r="O67" s="355">
        <f t="shared" ref="O67:O68" si="51">+G67</f>
        <v>400</v>
      </c>
      <c r="P67" s="355">
        <f t="shared" ref="P67:P68" si="52">+H67</f>
        <v>20</v>
      </c>
      <c r="Q67" s="355">
        <f t="shared" ref="Q67:Q68" si="53">+I67</f>
        <v>0</v>
      </c>
      <c r="R67" s="15"/>
    </row>
    <row r="68" spans="1:19" ht="90">
      <c r="A68" s="8">
        <v>4</v>
      </c>
      <c r="B68" s="328" t="s">
        <v>312</v>
      </c>
      <c r="C68" s="8" t="s">
        <v>313</v>
      </c>
      <c r="D68" s="8" t="s">
        <v>94</v>
      </c>
      <c r="E68" s="8" t="s">
        <v>53</v>
      </c>
      <c r="F68" s="130">
        <f t="shared" si="34"/>
        <v>420</v>
      </c>
      <c r="G68" s="289">
        <v>400</v>
      </c>
      <c r="H68" s="130">
        <v>20</v>
      </c>
      <c r="I68" s="15">
        <v>0</v>
      </c>
      <c r="J68" s="15"/>
      <c r="K68" s="15"/>
      <c r="L68" s="15"/>
      <c r="M68" s="15"/>
      <c r="N68" s="133">
        <f t="shared" si="24"/>
        <v>420</v>
      </c>
      <c r="O68" s="355">
        <f t="shared" si="51"/>
        <v>400</v>
      </c>
      <c r="P68" s="355">
        <f t="shared" si="52"/>
        <v>20</v>
      </c>
      <c r="Q68" s="355">
        <f t="shared" si="53"/>
        <v>0</v>
      </c>
      <c r="R68" s="15"/>
    </row>
    <row r="69" spans="1:19">
      <c r="A69" s="6" t="s">
        <v>327</v>
      </c>
      <c r="B69" s="326" t="s">
        <v>328</v>
      </c>
      <c r="C69" s="24"/>
      <c r="D69" s="23">
        <v>0</v>
      </c>
      <c r="E69" s="23"/>
      <c r="F69" s="345">
        <f>SUM(F70:F73)</f>
        <v>2766.75</v>
      </c>
      <c r="G69" s="346">
        <f>SUM(G70:G73)</f>
        <v>2635</v>
      </c>
      <c r="H69" s="345">
        <f>SUM(H70:H73)</f>
        <v>131.75</v>
      </c>
      <c r="I69" s="345">
        <f>SUM(I70:I73)</f>
        <v>0</v>
      </c>
      <c r="J69" s="345"/>
      <c r="K69" s="345"/>
      <c r="L69" s="345"/>
      <c r="M69" s="345"/>
      <c r="N69" s="345">
        <f>SUM(N70:N73)</f>
        <v>2766.75</v>
      </c>
      <c r="O69" s="345">
        <f>SUM(O70:O73)</f>
        <v>2635</v>
      </c>
      <c r="P69" s="345">
        <f>SUM(P70:P73)</f>
        <v>131.75</v>
      </c>
      <c r="Q69" s="345">
        <f>SUM(Q70:Q73)</f>
        <v>0</v>
      </c>
      <c r="R69" s="16"/>
    </row>
    <row r="70" spans="1:19" ht="90">
      <c r="A70" s="8">
        <v>3</v>
      </c>
      <c r="B70" s="328" t="s">
        <v>333</v>
      </c>
      <c r="C70" s="8" t="s">
        <v>334</v>
      </c>
      <c r="D70" s="8" t="s">
        <v>128</v>
      </c>
      <c r="E70" s="27" t="s">
        <v>53</v>
      </c>
      <c r="F70" s="130">
        <f t="shared" ref="F70:F91" si="54">G70+H70</f>
        <v>876.75</v>
      </c>
      <c r="G70" s="289">
        <v>835</v>
      </c>
      <c r="H70" s="130">
        <v>41.75</v>
      </c>
      <c r="I70" s="15">
        <v>0</v>
      </c>
      <c r="J70" s="15"/>
      <c r="K70" s="15"/>
      <c r="L70" s="15"/>
      <c r="M70" s="15"/>
      <c r="N70" s="133">
        <f t="shared" ref="N70:N91" si="55">O70+P70</f>
        <v>876.75</v>
      </c>
      <c r="O70" s="355">
        <f>+G70</f>
        <v>835</v>
      </c>
      <c r="P70" s="355">
        <f t="shared" ref="P70:Q70" si="56">+H70</f>
        <v>41.75</v>
      </c>
      <c r="Q70" s="355">
        <f t="shared" si="56"/>
        <v>0</v>
      </c>
      <c r="R70" s="15"/>
    </row>
    <row r="71" spans="1:19" ht="90">
      <c r="A71" s="8">
        <v>4</v>
      </c>
      <c r="B71" s="328" t="s">
        <v>335</v>
      </c>
      <c r="C71" s="8" t="s">
        <v>336</v>
      </c>
      <c r="D71" s="8" t="s">
        <v>337</v>
      </c>
      <c r="E71" s="27" t="s">
        <v>53</v>
      </c>
      <c r="F71" s="130">
        <f t="shared" si="54"/>
        <v>315</v>
      </c>
      <c r="G71" s="289">
        <v>300</v>
      </c>
      <c r="H71" s="130">
        <v>15</v>
      </c>
      <c r="I71" s="15">
        <v>0</v>
      </c>
      <c r="J71" s="15"/>
      <c r="K71" s="15"/>
      <c r="L71" s="15"/>
      <c r="M71" s="15"/>
      <c r="N71" s="133">
        <f t="shared" si="55"/>
        <v>315</v>
      </c>
      <c r="O71" s="355">
        <f t="shared" ref="O71:O73" si="57">+G71</f>
        <v>300</v>
      </c>
      <c r="P71" s="355">
        <f t="shared" ref="P71:P73" si="58">+H71</f>
        <v>15</v>
      </c>
      <c r="Q71" s="355">
        <f t="shared" ref="Q71:Q73" si="59">+I71</f>
        <v>0</v>
      </c>
      <c r="R71" s="15"/>
    </row>
    <row r="72" spans="1:19" ht="90">
      <c r="A72" s="8">
        <v>5</v>
      </c>
      <c r="B72" s="328" t="s">
        <v>338</v>
      </c>
      <c r="C72" s="8" t="s">
        <v>339</v>
      </c>
      <c r="D72" s="8" t="s">
        <v>104</v>
      </c>
      <c r="E72" s="27" t="s">
        <v>53</v>
      </c>
      <c r="F72" s="130">
        <f t="shared" si="54"/>
        <v>735</v>
      </c>
      <c r="G72" s="289">
        <v>700</v>
      </c>
      <c r="H72" s="130">
        <v>35</v>
      </c>
      <c r="I72" s="15">
        <v>0</v>
      </c>
      <c r="J72" s="15"/>
      <c r="K72" s="15"/>
      <c r="L72" s="15"/>
      <c r="M72" s="15"/>
      <c r="N72" s="133">
        <f t="shared" si="55"/>
        <v>735</v>
      </c>
      <c r="O72" s="355">
        <f t="shared" si="57"/>
        <v>700</v>
      </c>
      <c r="P72" s="355">
        <f t="shared" si="58"/>
        <v>35</v>
      </c>
      <c r="Q72" s="355">
        <f t="shared" si="59"/>
        <v>0</v>
      </c>
      <c r="R72" s="15"/>
    </row>
    <row r="73" spans="1:19" ht="90">
      <c r="A73" s="8">
        <v>6</v>
      </c>
      <c r="B73" s="328" t="s">
        <v>340</v>
      </c>
      <c r="C73" s="8" t="s">
        <v>330</v>
      </c>
      <c r="D73" s="8" t="s">
        <v>341</v>
      </c>
      <c r="E73" s="27" t="s">
        <v>53</v>
      </c>
      <c r="F73" s="130">
        <f t="shared" si="54"/>
        <v>840</v>
      </c>
      <c r="G73" s="289">
        <v>800</v>
      </c>
      <c r="H73" s="130">
        <v>40</v>
      </c>
      <c r="I73" s="15">
        <v>0</v>
      </c>
      <c r="J73" s="15"/>
      <c r="K73" s="15"/>
      <c r="L73" s="15"/>
      <c r="M73" s="15"/>
      <c r="N73" s="133">
        <f t="shared" si="55"/>
        <v>840</v>
      </c>
      <c r="O73" s="355">
        <f t="shared" si="57"/>
        <v>800</v>
      </c>
      <c r="P73" s="355">
        <f t="shared" si="58"/>
        <v>40</v>
      </c>
      <c r="Q73" s="355">
        <f t="shared" si="59"/>
        <v>0</v>
      </c>
      <c r="R73" s="15"/>
    </row>
    <row r="74" spans="1:19">
      <c r="A74" s="6" t="s">
        <v>358</v>
      </c>
      <c r="B74" s="326" t="s">
        <v>359</v>
      </c>
      <c r="C74" s="24"/>
      <c r="D74" s="23">
        <v>0</v>
      </c>
      <c r="E74" s="23"/>
      <c r="F74" s="345">
        <f>SUM(F75:F77)</f>
        <v>4920</v>
      </c>
      <c r="G74" s="346">
        <f>SUM(G75:G77)</f>
        <v>4686</v>
      </c>
      <c r="H74" s="345">
        <f>SUM(H75:H77)</f>
        <v>234</v>
      </c>
      <c r="I74" s="345">
        <f>SUM(I75:I77)</f>
        <v>0</v>
      </c>
      <c r="J74" s="345"/>
      <c r="K74" s="345"/>
      <c r="L74" s="345"/>
      <c r="M74" s="345"/>
      <c r="N74" s="345">
        <f>SUM(N75:N77)</f>
        <v>4920</v>
      </c>
      <c r="O74" s="345">
        <f>SUM(O75:O77)</f>
        <v>4686</v>
      </c>
      <c r="P74" s="345">
        <f>SUM(P75:P77)</f>
        <v>234</v>
      </c>
      <c r="Q74" s="345">
        <f>SUM(Q75:Q77)</f>
        <v>0</v>
      </c>
      <c r="R74" s="347"/>
    </row>
    <row r="75" spans="1:19" ht="90">
      <c r="A75" s="8">
        <v>5</v>
      </c>
      <c r="B75" s="328" t="s">
        <v>368</v>
      </c>
      <c r="C75" s="8" t="s">
        <v>369</v>
      </c>
      <c r="D75" s="8" t="s">
        <v>251</v>
      </c>
      <c r="E75" s="8" t="s">
        <v>53</v>
      </c>
      <c r="F75" s="130">
        <f t="shared" si="54"/>
        <v>1455</v>
      </c>
      <c r="G75" s="289">
        <v>1386</v>
      </c>
      <c r="H75" s="130">
        <v>69</v>
      </c>
      <c r="I75" s="15"/>
      <c r="J75" s="15"/>
      <c r="K75" s="15"/>
      <c r="L75" s="15"/>
      <c r="M75" s="15"/>
      <c r="N75" s="133">
        <f t="shared" si="55"/>
        <v>1455</v>
      </c>
      <c r="O75" s="355">
        <f>+G75</f>
        <v>1386</v>
      </c>
      <c r="P75" s="355">
        <f t="shared" ref="P75:Q75" si="60">+H75</f>
        <v>69</v>
      </c>
      <c r="Q75" s="355">
        <f t="shared" si="60"/>
        <v>0</v>
      </c>
      <c r="R75" s="15"/>
    </row>
    <row r="76" spans="1:19" ht="90">
      <c r="A76" s="8">
        <v>6</v>
      </c>
      <c r="B76" s="328" t="s">
        <v>370</v>
      </c>
      <c r="C76" s="8" t="s">
        <v>371</v>
      </c>
      <c r="D76" s="8" t="s">
        <v>372</v>
      </c>
      <c r="E76" s="8" t="s">
        <v>53</v>
      </c>
      <c r="F76" s="130">
        <f t="shared" si="54"/>
        <v>1890</v>
      </c>
      <c r="G76" s="289">
        <v>1800</v>
      </c>
      <c r="H76" s="130">
        <v>90</v>
      </c>
      <c r="I76" s="15"/>
      <c r="J76" s="15"/>
      <c r="K76" s="15"/>
      <c r="L76" s="15"/>
      <c r="M76" s="15"/>
      <c r="N76" s="133">
        <f t="shared" si="55"/>
        <v>1890</v>
      </c>
      <c r="O76" s="355">
        <f t="shared" ref="O76:O77" si="61">+G76</f>
        <v>1800</v>
      </c>
      <c r="P76" s="355">
        <f t="shared" ref="P76:P77" si="62">+H76</f>
        <v>90</v>
      </c>
      <c r="Q76" s="355">
        <f t="shared" ref="Q76:Q77" si="63">+I76</f>
        <v>0</v>
      </c>
      <c r="R76" s="15"/>
    </row>
    <row r="77" spans="1:19" ht="90">
      <c r="A77" s="8">
        <v>7</v>
      </c>
      <c r="B77" s="328" t="s">
        <v>373</v>
      </c>
      <c r="C77" s="8" t="s">
        <v>374</v>
      </c>
      <c r="D77" s="8" t="s">
        <v>326</v>
      </c>
      <c r="E77" s="8" t="s">
        <v>53</v>
      </c>
      <c r="F77" s="130">
        <f t="shared" si="54"/>
        <v>1575</v>
      </c>
      <c r="G77" s="289">
        <v>1500</v>
      </c>
      <c r="H77" s="130">
        <v>75</v>
      </c>
      <c r="I77" s="15"/>
      <c r="J77" s="15"/>
      <c r="K77" s="15"/>
      <c r="L77" s="15"/>
      <c r="M77" s="15"/>
      <c r="N77" s="133">
        <f t="shared" si="55"/>
        <v>1575</v>
      </c>
      <c r="O77" s="355">
        <f t="shared" si="61"/>
        <v>1500</v>
      </c>
      <c r="P77" s="355">
        <f t="shared" si="62"/>
        <v>75</v>
      </c>
      <c r="Q77" s="355">
        <f t="shared" si="63"/>
        <v>0</v>
      </c>
      <c r="R77" s="15"/>
    </row>
    <row r="78" spans="1:19">
      <c r="A78" s="6" t="s">
        <v>392</v>
      </c>
      <c r="B78" s="326" t="s">
        <v>393</v>
      </c>
      <c r="C78" s="24"/>
      <c r="D78" s="23">
        <v>0</v>
      </c>
      <c r="E78" s="23"/>
      <c r="F78" s="129">
        <f>SUM(F79:F85)</f>
        <v>3167</v>
      </c>
      <c r="G78" s="129">
        <f t="shared" ref="G78:Q78" si="64">SUM(G79:G85)</f>
        <v>3018</v>
      </c>
      <c r="H78" s="129">
        <f t="shared" si="64"/>
        <v>149</v>
      </c>
      <c r="I78" s="129">
        <f t="shared" si="64"/>
        <v>0</v>
      </c>
      <c r="J78" s="129">
        <f t="shared" si="64"/>
        <v>68.75</v>
      </c>
      <c r="K78" s="129">
        <f t="shared" si="64"/>
        <v>68.75</v>
      </c>
      <c r="L78" s="129">
        <f t="shared" si="64"/>
        <v>0</v>
      </c>
      <c r="M78" s="129">
        <f t="shared" si="64"/>
        <v>0</v>
      </c>
      <c r="N78" s="129">
        <f t="shared" si="64"/>
        <v>3098.25</v>
      </c>
      <c r="O78" s="129">
        <f t="shared" si="64"/>
        <v>2949.25</v>
      </c>
      <c r="P78" s="129">
        <f t="shared" si="64"/>
        <v>149</v>
      </c>
      <c r="Q78" s="129">
        <f t="shared" si="64"/>
        <v>0</v>
      </c>
      <c r="R78" s="16"/>
    </row>
    <row r="79" spans="1:19" ht="45">
      <c r="A79" s="357"/>
      <c r="B79" s="338" t="s">
        <v>400</v>
      </c>
      <c r="C79" s="162" t="s">
        <v>401</v>
      </c>
      <c r="D79" s="135" t="s">
        <v>402</v>
      </c>
      <c r="E79" s="359" t="s">
        <v>916</v>
      </c>
      <c r="F79" s="136">
        <f t="shared" ref="F79" si="65">G79+H79</f>
        <v>399</v>
      </c>
      <c r="G79" s="293">
        <v>380</v>
      </c>
      <c r="H79" s="136">
        <v>19</v>
      </c>
      <c r="I79" s="138">
        <v>0</v>
      </c>
      <c r="J79" s="137">
        <f t="shared" ref="J79" si="66">K79+L79</f>
        <v>68.75</v>
      </c>
      <c r="K79" s="137">
        <v>68.75</v>
      </c>
      <c r="L79" s="137">
        <v>0</v>
      </c>
      <c r="M79" s="350"/>
      <c r="N79" s="136">
        <f>+O79+P79</f>
        <v>330.25</v>
      </c>
      <c r="O79" s="136">
        <f>+G79-K79</f>
        <v>311.25</v>
      </c>
      <c r="P79" s="136">
        <f>+H79-L79</f>
        <v>19</v>
      </c>
      <c r="Q79" s="136">
        <v>0</v>
      </c>
      <c r="R79" s="351"/>
      <c r="S79" s="353"/>
    </row>
    <row r="80" spans="1:19" ht="90">
      <c r="A80" s="141">
        <v>4</v>
      </c>
      <c r="B80" s="337" t="s">
        <v>403</v>
      </c>
      <c r="C80" s="157" t="s">
        <v>398</v>
      </c>
      <c r="D80" s="150" t="s">
        <v>404</v>
      </c>
      <c r="E80" s="158" t="s">
        <v>53</v>
      </c>
      <c r="F80" s="143">
        <f t="shared" si="54"/>
        <v>448</v>
      </c>
      <c r="G80" s="292">
        <v>428</v>
      </c>
      <c r="H80" s="143">
        <v>20</v>
      </c>
      <c r="I80" s="145">
        <v>0</v>
      </c>
      <c r="J80" s="145"/>
      <c r="K80" s="145"/>
      <c r="L80" s="145"/>
      <c r="M80" s="145"/>
      <c r="N80" s="144">
        <f t="shared" si="55"/>
        <v>448</v>
      </c>
      <c r="O80" s="354">
        <f>+G80</f>
        <v>428</v>
      </c>
      <c r="P80" s="354">
        <f t="shared" ref="P80:Q80" si="67">+H80</f>
        <v>20</v>
      </c>
      <c r="Q80" s="354">
        <f t="shared" si="67"/>
        <v>0</v>
      </c>
      <c r="R80" s="145"/>
    </row>
    <row r="81" spans="1:18" ht="90">
      <c r="A81" s="141">
        <v>5</v>
      </c>
      <c r="B81" s="337" t="s">
        <v>405</v>
      </c>
      <c r="C81" s="157" t="s">
        <v>406</v>
      </c>
      <c r="D81" s="150" t="s">
        <v>407</v>
      </c>
      <c r="E81" s="158" t="s">
        <v>53</v>
      </c>
      <c r="F81" s="143">
        <f t="shared" si="54"/>
        <v>340</v>
      </c>
      <c r="G81" s="292">
        <v>325</v>
      </c>
      <c r="H81" s="143">
        <v>15</v>
      </c>
      <c r="I81" s="145">
        <v>0</v>
      </c>
      <c r="J81" s="145"/>
      <c r="K81" s="145"/>
      <c r="L81" s="145"/>
      <c r="M81" s="145"/>
      <c r="N81" s="144">
        <f t="shared" si="55"/>
        <v>340</v>
      </c>
      <c r="O81" s="354">
        <f t="shared" ref="O81:O85" si="68">+G81</f>
        <v>325</v>
      </c>
      <c r="P81" s="354">
        <f t="shared" ref="P81:P85" si="69">+H81</f>
        <v>15</v>
      </c>
      <c r="Q81" s="354">
        <f t="shared" ref="Q81:Q85" si="70">+I81</f>
        <v>0</v>
      </c>
      <c r="R81" s="145"/>
    </row>
    <row r="82" spans="1:18" ht="45">
      <c r="A82" s="141">
        <v>6</v>
      </c>
      <c r="B82" s="337" t="s">
        <v>408</v>
      </c>
      <c r="C82" s="157" t="s">
        <v>409</v>
      </c>
      <c r="D82" s="141" t="s">
        <v>806</v>
      </c>
      <c r="E82" s="158" t="s">
        <v>53</v>
      </c>
      <c r="F82" s="143">
        <f t="shared" si="54"/>
        <v>499</v>
      </c>
      <c r="G82" s="292">
        <v>475</v>
      </c>
      <c r="H82" s="143">
        <v>24</v>
      </c>
      <c r="I82" s="145">
        <v>0</v>
      </c>
      <c r="J82" s="145"/>
      <c r="K82" s="145"/>
      <c r="L82" s="145"/>
      <c r="M82" s="145"/>
      <c r="N82" s="144">
        <f t="shared" si="55"/>
        <v>499</v>
      </c>
      <c r="O82" s="354">
        <f t="shared" si="68"/>
        <v>475</v>
      </c>
      <c r="P82" s="354">
        <f t="shared" si="69"/>
        <v>24</v>
      </c>
      <c r="Q82" s="354">
        <f t="shared" si="70"/>
        <v>0</v>
      </c>
      <c r="R82" s="145"/>
    </row>
    <row r="83" spans="1:18" ht="90">
      <c r="A83" s="141">
        <v>7</v>
      </c>
      <c r="B83" s="337" t="s">
        <v>411</v>
      </c>
      <c r="C83" s="157" t="s">
        <v>412</v>
      </c>
      <c r="D83" s="150" t="s">
        <v>413</v>
      </c>
      <c r="E83" s="158" t="s">
        <v>53</v>
      </c>
      <c r="F83" s="143">
        <f t="shared" si="54"/>
        <v>499</v>
      </c>
      <c r="G83" s="292">
        <v>475</v>
      </c>
      <c r="H83" s="143">
        <v>24</v>
      </c>
      <c r="I83" s="145">
        <v>0</v>
      </c>
      <c r="J83" s="145"/>
      <c r="K83" s="145"/>
      <c r="L83" s="145"/>
      <c r="M83" s="145"/>
      <c r="N83" s="144">
        <f t="shared" si="55"/>
        <v>499</v>
      </c>
      <c r="O83" s="354">
        <f t="shared" si="68"/>
        <v>475</v>
      </c>
      <c r="P83" s="354">
        <f t="shared" si="69"/>
        <v>24</v>
      </c>
      <c r="Q83" s="354">
        <f t="shared" si="70"/>
        <v>0</v>
      </c>
      <c r="R83" s="145"/>
    </row>
    <row r="84" spans="1:18" ht="90">
      <c r="A84" s="141">
        <v>8</v>
      </c>
      <c r="B84" s="337" t="s">
        <v>414</v>
      </c>
      <c r="C84" s="157" t="s">
        <v>415</v>
      </c>
      <c r="D84" s="141" t="s">
        <v>208</v>
      </c>
      <c r="E84" s="158" t="s">
        <v>53</v>
      </c>
      <c r="F84" s="143">
        <f t="shared" si="54"/>
        <v>299</v>
      </c>
      <c r="G84" s="292">
        <v>285</v>
      </c>
      <c r="H84" s="143">
        <v>14</v>
      </c>
      <c r="I84" s="145">
        <v>0</v>
      </c>
      <c r="J84" s="145"/>
      <c r="K84" s="145"/>
      <c r="L84" s="145"/>
      <c r="M84" s="145"/>
      <c r="N84" s="144">
        <f t="shared" si="55"/>
        <v>299</v>
      </c>
      <c r="O84" s="354">
        <f t="shared" si="68"/>
        <v>285</v>
      </c>
      <c r="P84" s="354">
        <f t="shared" si="69"/>
        <v>14</v>
      </c>
      <c r="Q84" s="354">
        <f t="shared" si="70"/>
        <v>0</v>
      </c>
      <c r="R84" s="145"/>
    </row>
    <row r="85" spans="1:18" ht="90">
      <c r="A85" s="141">
        <v>9</v>
      </c>
      <c r="B85" s="337" t="s">
        <v>416</v>
      </c>
      <c r="C85" s="157" t="s">
        <v>401</v>
      </c>
      <c r="D85" s="150" t="s">
        <v>417</v>
      </c>
      <c r="E85" s="158" t="s">
        <v>53</v>
      </c>
      <c r="F85" s="143">
        <f t="shared" si="54"/>
        <v>683</v>
      </c>
      <c r="G85" s="292">
        <v>650</v>
      </c>
      <c r="H85" s="143">
        <v>33</v>
      </c>
      <c r="I85" s="145">
        <v>0</v>
      </c>
      <c r="J85" s="145"/>
      <c r="K85" s="145"/>
      <c r="L85" s="145"/>
      <c r="M85" s="145"/>
      <c r="N85" s="144">
        <f t="shared" si="55"/>
        <v>683</v>
      </c>
      <c r="O85" s="354">
        <f t="shared" si="68"/>
        <v>650</v>
      </c>
      <c r="P85" s="354">
        <f t="shared" si="69"/>
        <v>33</v>
      </c>
      <c r="Q85" s="354">
        <f t="shared" si="70"/>
        <v>0</v>
      </c>
      <c r="R85" s="145"/>
    </row>
    <row r="86" spans="1:18">
      <c r="A86" s="6" t="s">
        <v>433</v>
      </c>
      <c r="B86" s="339" t="s">
        <v>434</v>
      </c>
      <c r="C86" s="24"/>
      <c r="D86" s="23">
        <v>0</v>
      </c>
      <c r="E86" s="23"/>
      <c r="F86" s="345">
        <f>SUM(F87:F87)</f>
        <v>328.34</v>
      </c>
      <c r="G86" s="346">
        <f>SUM(G87:G87)</f>
        <v>312.7</v>
      </c>
      <c r="H86" s="345">
        <f>SUM(H87:H87)</f>
        <v>15.64</v>
      </c>
      <c r="I86" s="345">
        <f>SUM(I87:I87)</f>
        <v>0</v>
      </c>
      <c r="J86" s="345"/>
      <c r="K86" s="345"/>
      <c r="L86" s="345"/>
      <c r="M86" s="345"/>
      <c r="N86" s="345">
        <f>SUM(N87:N87)</f>
        <v>328.34</v>
      </c>
      <c r="O86" s="345">
        <f>SUM(O87:O87)</f>
        <v>312.7</v>
      </c>
      <c r="P86" s="345">
        <f>SUM(P87:P87)</f>
        <v>15.64</v>
      </c>
      <c r="Q86" s="345">
        <f>SUM(Q87:Q87)</f>
        <v>0</v>
      </c>
      <c r="R86" s="16"/>
    </row>
    <row r="87" spans="1:18" ht="90">
      <c r="A87" s="8">
        <v>2</v>
      </c>
      <c r="B87" s="328" t="s">
        <v>435</v>
      </c>
      <c r="C87" s="8" t="s">
        <v>436</v>
      </c>
      <c r="D87" s="8" t="s">
        <v>437</v>
      </c>
      <c r="E87" s="8" t="s">
        <v>53</v>
      </c>
      <c r="F87" s="130">
        <f t="shared" si="54"/>
        <v>328.34</v>
      </c>
      <c r="G87" s="289">
        <v>312.7</v>
      </c>
      <c r="H87" s="130">
        <v>15.64</v>
      </c>
      <c r="I87" s="15">
        <v>0</v>
      </c>
      <c r="J87" s="15"/>
      <c r="K87" s="15"/>
      <c r="L87" s="15"/>
      <c r="M87" s="15"/>
      <c r="N87" s="133">
        <f t="shared" si="55"/>
        <v>328.34</v>
      </c>
      <c r="O87" s="355">
        <f>+G87</f>
        <v>312.7</v>
      </c>
      <c r="P87" s="355">
        <f t="shared" ref="P87:Q87" si="71">+H87</f>
        <v>15.64</v>
      </c>
      <c r="Q87" s="355">
        <f t="shared" si="71"/>
        <v>0</v>
      </c>
      <c r="R87" s="15"/>
    </row>
    <row r="88" spans="1:18">
      <c r="A88" s="6" t="s">
        <v>442</v>
      </c>
      <c r="B88" s="326" t="s">
        <v>443</v>
      </c>
      <c r="C88" s="6"/>
      <c r="D88" s="23">
        <v>0</v>
      </c>
      <c r="E88" s="23"/>
      <c r="F88" s="345">
        <f>SUM(F89:F91)</f>
        <v>2835</v>
      </c>
      <c r="G88" s="346">
        <f>SUM(G89:G91)</f>
        <v>2700</v>
      </c>
      <c r="H88" s="345">
        <f>SUM(H89:H91)</f>
        <v>135</v>
      </c>
      <c r="I88" s="345">
        <f>SUM(I89:I91)</f>
        <v>0</v>
      </c>
      <c r="J88" s="345"/>
      <c r="K88" s="345"/>
      <c r="L88" s="345"/>
      <c r="M88" s="345"/>
      <c r="N88" s="345">
        <f>SUM(N89:N91)</f>
        <v>2835</v>
      </c>
      <c r="O88" s="345">
        <f>SUM(O89:O91)</f>
        <v>2700</v>
      </c>
      <c r="P88" s="345">
        <f>SUM(P89:P91)</f>
        <v>135</v>
      </c>
      <c r="Q88" s="345">
        <f>SUM(Q89:Q91)</f>
        <v>0</v>
      </c>
      <c r="R88" s="347"/>
    </row>
    <row r="89" spans="1:18" ht="90">
      <c r="A89" s="8">
        <v>3</v>
      </c>
      <c r="B89" s="341" t="s">
        <v>448</v>
      </c>
      <c r="C89" s="8" t="s">
        <v>449</v>
      </c>
      <c r="D89" s="22" t="s">
        <v>450</v>
      </c>
      <c r="E89" s="8" t="s">
        <v>53</v>
      </c>
      <c r="F89" s="130">
        <f t="shared" si="54"/>
        <v>1365</v>
      </c>
      <c r="G89" s="289">
        <v>1300</v>
      </c>
      <c r="H89" s="130">
        <v>65</v>
      </c>
      <c r="I89" s="15"/>
      <c r="J89" s="15"/>
      <c r="K89" s="15"/>
      <c r="L89" s="15"/>
      <c r="M89" s="15"/>
      <c r="N89" s="133">
        <f t="shared" si="55"/>
        <v>1365</v>
      </c>
      <c r="O89" s="355">
        <f>+G89</f>
        <v>1300</v>
      </c>
      <c r="P89" s="355">
        <f t="shared" ref="P89:Q89" si="72">+H89</f>
        <v>65</v>
      </c>
      <c r="Q89" s="355">
        <f t="shared" si="72"/>
        <v>0</v>
      </c>
      <c r="R89" s="15"/>
    </row>
    <row r="90" spans="1:18" ht="90">
      <c r="A90" s="8">
        <v>4</v>
      </c>
      <c r="B90" s="328" t="s">
        <v>451</v>
      </c>
      <c r="C90" s="8" t="s">
        <v>452</v>
      </c>
      <c r="D90" s="8" t="s">
        <v>94</v>
      </c>
      <c r="E90" s="8" t="s">
        <v>53</v>
      </c>
      <c r="F90" s="130">
        <f t="shared" si="54"/>
        <v>420</v>
      </c>
      <c r="G90" s="289">
        <v>400</v>
      </c>
      <c r="H90" s="130">
        <v>20</v>
      </c>
      <c r="I90" s="15">
        <v>0</v>
      </c>
      <c r="J90" s="15"/>
      <c r="K90" s="15"/>
      <c r="L90" s="15"/>
      <c r="M90" s="15"/>
      <c r="N90" s="133">
        <f t="shared" si="55"/>
        <v>420</v>
      </c>
      <c r="O90" s="355">
        <f t="shared" ref="O90:O91" si="73">+G90</f>
        <v>400</v>
      </c>
      <c r="P90" s="355">
        <f t="shared" ref="P90:P91" si="74">+H90</f>
        <v>20</v>
      </c>
      <c r="Q90" s="355">
        <f t="shared" ref="Q90:Q91" si="75">+I90</f>
        <v>0</v>
      </c>
      <c r="R90" s="15"/>
    </row>
    <row r="91" spans="1:18" ht="90">
      <c r="A91" s="8">
        <v>5</v>
      </c>
      <c r="B91" s="341" t="s">
        <v>453</v>
      </c>
      <c r="C91" s="8" t="s">
        <v>454</v>
      </c>
      <c r="D91" s="22" t="s">
        <v>455</v>
      </c>
      <c r="E91" s="8" t="s">
        <v>53</v>
      </c>
      <c r="F91" s="130">
        <f t="shared" si="54"/>
        <v>1050</v>
      </c>
      <c r="G91" s="289">
        <v>1000</v>
      </c>
      <c r="H91" s="130">
        <v>50</v>
      </c>
      <c r="I91" s="15">
        <v>0</v>
      </c>
      <c r="J91" s="15"/>
      <c r="K91" s="15"/>
      <c r="L91" s="15"/>
      <c r="M91" s="15"/>
      <c r="N91" s="133">
        <f t="shared" si="55"/>
        <v>1050</v>
      </c>
      <c r="O91" s="355">
        <f t="shared" si="73"/>
        <v>1000</v>
      </c>
      <c r="P91" s="355">
        <f t="shared" si="74"/>
        <v>50</v>
      </c>
      <c r="Q91" s="355">
        <f t="shared" si="75"/>
        <v>0</v>
      </c>
      <c r="R91" s="15"/>
    </row>
    <row r="92" spans="1:18">
      <c r="A92" s="20" t="s">
        <v>471</v>
      </c>
      <c r="B92" s="342" t="s">
        <v>472</v>
      </c>
      <c r="C92" s="24"/>
      <c r="D92" s="23">
        <v>0</v>
      </c>
      <c r="E92" s="23"/>
      <c r="F92" s="345">
        <f>SUM(F93:F97)</f>
        <v>3624.6</v>
      </c>
      <c r="G92" s="346">
        <f>SUM(G93:G97)</f>
        <v>3452</v>
      </c>
      <c r="H92" s="345">
        <f>SUM(H93:H97)</f>
        <v>172.6</v>
      </c>
      <c r="I92" s="345">
        <f>SUM(I93:I97)</f>
        <v>0</v>
      </c>
      <c r="J92" s="345"/>
      <c r="K92" s="345"/>
      <c r="L92" s="345"/>
      <c r="M92" s="345"/>
      <c r="N92" s="345">
        <f>SUM(N93:N97)</f>
        <v>3624.6</v>
      </c>
      <c r="O92" s="345">
        <f>SUM(O93:O97)</f>
        <v>3452</v>
      </c>
      <c r="P92" s="345">
        <f>SUM(P93:P97)</f>
        <v>172.6</v>
      </c>
      <c r="Q92" s="345">
        <f>SUM(Q93:Q97)</f>
        <v>0</v>
      </c>
      <c r="R92" s="16"/>
    </row>
    <row r="93" spans="1:18" ht="90">
      <c r="A93" s="19">
        <v>2</v>
      </c>
      <c r="B93" s="343" t="s">
        <v>476</v>
      </c>
      <c r="C93" s="19" t="s">
        <v>474</v>
      </c>
      <c r="D93" s="8" t="s">
        <v>94</v>
      </c>
      <c r="E93" s="19" t="s">
        <v>53</v>
      </c>
      <c r="F93" s="130">
        <f t="shared" ref="F93:F109" si="76">G93+H93</f>
        <v>468.3</v>
      </c>
      <c r="G93" s="289">
        <v>446</v>
      </c>
      <c r="H93" s="130">
        <v>22.3</v>
      </c>
      <c r="I93" s="15">
        <v>0</v>
      </c>
      <c r="J93" s="15"/>
      <c r="K93" s="15"/>
      <c r="L93" s="15"/>
      <c r="M93" s="15"/>
      <c r="N93" s="133">
        <f t="shared" ref="N93:N109" si="77">O93+P93</f>
        <v>468.3</v>
      </c>
      <c r="O93" s="355">
        <f>+G93</f>
        <v>446</v>
      </c>
      <c r="P93" s="355">
        <f t="shared" ref="P93:Q93" si="78">+H93</f>
        <v>22.3</v>
      </c>
      <c r="Q93" s="355">
        <f t="shared" si="78"/>
        <v>0</v>
      </c>
      <c r="R93" s="15"/>
    </row>
    <row r="94" spans="1:18" ht="90">
      <c r="A94" s="19">
        <v>3</v>
      </c>
      <c r="B94" s="343" t="s">
        <v>477</v>
      </c>
      <c r="C94" s="19" t="s">
        <v>478</v>
      </c>
      <c r="D94" s="8" t="s">
        <v>94</v>
      </c>
      <c r="E94" s="19" t="s">
        <v>53</v>
      </c>
      <c r="F94" s="130">
        <f t="shared" si="76"/>
        <v>468.3</v>
      </c>
      <c r="G94" s="289">
        <v>446</v>
      </c>
      <c r="H94" s="130">
        <v>22.3</v>
      </c>
      <c r="I94" s="15">
        <v>0</v>
      </c>
      <c r="J94" s="15"/>
      <c r="K94" s="15"/>
      <c r="L94" s="15"/>
      <c r="M94" s="15"/>
      <c r="N94" s="133">
        <f t="shared" si="77"/>
        <v>468.3</v>
      </c>
      <c r="O94" s="355">
        <f t="shared" ref="O94:O97" si="79">+G94</f>
        <v>446</v>
      </c>
      <c r="P94" s="355">
        <f t="shared" ref="P94:P97" si="80">+H94</f>
        <v>22.3</v>
      </c>
      <c r="Q94" s="355">
        <f t="shared" ref="Q94:Q97" si="81">+I94</f>
        <v>0</v>
      </c>
      <c r="R94" s="15"/>
    </row>
    <row r="95" spans="1:18" ht="30">
      <c r="A95" s="19">
        <v>4</v>
      </c>
      <c r="B95" s="343" t="s">
        <v>479</v>
      </c>
      <c r="C95" s="19" t="s">
        <v>472</v>
      </c>
      <c r="D95" s="19" t="s">
        <v>480</v>
      </c>
      <c r="E95" s="19" t="s">
        <v>53</v>
      </c>
      <c r="F95" s="130">
        <f t="shared" si="76"/>
        <v>315</v>
      </c>
      <c r="G95" s="289">
        <v>300</v>
      </c>
      <c r="H95" s="130">
        <v>15</v>
      </c>
      <c r="I95" s="15">
        <v>0</v>
      </c>
      <c r="J95" s="15"/>
      <c r="K95" s="15"/>
      <c r="L95" s="15"/>
      <c r="M95" s="15"/>
      <c r="N95" s="133">
        <f t="shared" si="77"/>
        <v>315</v>
      </c>
      <c r="O95" s="355">
        <f t="shared" si="79"/>
        <v>300</v>
      </c>
      <c r="P95" s="355">
        <f t="shared" si="80"/>
        <v>15</v>
      </c>
      <c r="Q95" s="355">
        <f t="shared" si="81"/>
        <v>0</v>
      </c>
      <c r="R95" s="15"/>
    </row>
    <row r="96" spans="1:18" ht="45">
      <c r="A96" s="19">
        <v>5</v>
      </c>
      <c r="B96" s="343" t="s">
        <v>481</v>
      </c>
      <c r="C96" s="19" t="s">
        <v>482</v>
      </c>
      <c r="D96" s="8" t="s">
        <v>483</v>
      </c>
      <c r="E96" s="19" t="s">
        <v>53</v>
      </c>
      <c r="F96" s="130">
        <f t="shared" si="76"/>
        <v>1323</v>
      </c>
      <c r="G96" s="289">
        <v>1260</v>
      </c>
      <c r="H96" s="130">
        <v>63</v>
      </c>
      <c r="I96" s="15">
        <v>0</v>
      </c>
      <c r="J96" s="15"/>
      <c r="K96" s="15"/>
      <c r="L96" s="15"/>
      <c r="M96" s="15"/>
      <c r="N96" s="133">
        <f t="shared" si="77"/>
        <v>1323</v>
      </c>
      <c r="O96" s="355">
        <f t="shared" si="79"/>
        <v>1260</v>
      </c>
      <c r="P96" s="355">
        <f t="shared" si="80"/>
        <v>63</v>
      </c>
      <c r="Q96" s="355">
        <f t="shared" si="81"/>
        <v>0</v>
      </c>
      <c r="R96" s="15"/>
    </row>
    <row r="97" spans="1:18" ht="45">
      <c r="A97" s="19">
        <v>6</v>
      </c>
      <c r="B97" s="343" t="s">
        <v>484</v>
      </c>
      <c r="C97" s="19" t="s">
        <v>482</v>
      </c>
      <c r="D97" s="8" t="s">
        <v>483</v>
      </c>
      <c r="E97" s="19" t="s">
        <v>53</v>
      </c>
      <c r="F97" s="130">
        <f t="shared" si="76"/>
        <v>1050</v>
      </c>
      <c r="G97" s="289">
        <v>1000</v>
      </c>
      <c r="H97" s="130">
        <v>50</v>
      </c>
      <c r="I97" s="15">
        <v>0</v>
      </c>
      <c r="J97" s="15"/>
      <c r="K97" s="15"/>
      <c r="L97" s="15"/>
      <c r="M97" s="15"/>
      <c r="N97" s="133">
        <f t="shared" si="77"/>
        <v>1050</v>
      </c>
      <c r="O97" s="355">
        <f t="shared" si="79"/>
        <v>1000</v>
      </c>
      <c r="P97" s="355">
        <f t="shared" si="80"/>
        <v>50</v>
      </c>
      <c r="Q97" s="355">
        <f t="shared" si="81"/>
        <v>0</v>
      </c>
      <c r="R97" s="15"/>
    </row>
    <row r="98" spans="1:18">
      <c r="A98" s="6" t="s">
        <v>499</v>
      </c>
      <c r="B98" s="326" t="s">
        <v>500</v>
      </c>
      <c r="C98" s="24"/>
      <c r="D98" s="23">
        <v>0</v>
      </c>
      <c r="E98" s="23"/>
      <c r="F98" s="345">
        <f>SUM(F99:F109)</f>
        <v>3717</v>
      </c>
      <c r="G98" s="346">
        <f>SUM(G99:G109)</f>
        <v>3540</v>
      </c>
      <c r="H98" s="345">
        <f>SUM(H99:H109)</f>
        <v>177</v>
      </c>
      <c r="I98" s="345">
        <f>SUM(I99:I109)</f>
        <v>0</v>
      </c>
      <c r="J98" s="345"/>
      <c r="K98" s="345"/>
      <c r="L98" s="345"/>
      <c r="M98" s="345"/>
      <c r="N98" s="345">
        <f>SUM(N99:N109)</f>
        <v>3717</v>
      </c>
      <c r="O98" s="345">
        <f>SUM(O99:O109)</f>
        <v>3540</v>
      </c>
      <c r="P98" s="345">
        <f>SUM(P99:P109)</f>
        <v>177</v>
      </c>
      <c r="Q98" s="345">
        <f>SUM(Q99:Q109)</f>
        <v>0</v>
      </c>
      <c r="R98" s="347"/>
    </row>
    <row r="99" spans="1:18" ht="90">
      <c r="A99" s="8">
        <v>7</v>
      </c>
      <c r="B99" s="328" t="s">
        <v>512</v>
      </c>
      <c r="C99" s="8" t="s">
        <v>513</v>
      </c>
      <c r="D99" s="8" t="s">
        <v>94</v>
      </c>
      <c r="E99" s="8" t="s">
        <v>53</v>
      </c>
      <c r="F99" s="130">
        <f t="shared" si="76"/>
        <v>483</v>
      </c>
      <c r="G99" s="289">
        <v>460</v>
      </c>
      <c r="H99" s="130">
        <v>23</v>
      </c>
      <c r="I99" s="15">
        <v>0</v>
      </c>
      <c r="J99" s="15"/>
      <c r="K99" s="15"/>
      <c r="L99" s="15"/>
      <c r="M99" s="15"/>
      <c r="N99" s="133">
        <f t="shared" si="77"/>
        <v>483</v>
      </c>
      <c r="O99" s="355">
        <f>+G99</f>
        <v>460</v>
      </c>
      <c r="P99" s="355">
        <f t="shared" ref="P99:Q99" si="82">+H99</f>
        <v>23</v>
      </c>
      <c r="Q99" s="355">
        <f t="shared" si="82"/>
        <v>0</v>
      </c>
      <c r="R99" s="15"/>
    </row>
    <row r="100" spans="1:18" ht="90">
      <c r="A100" s="8">
        <v>8</v>
      </c>
      <c r="B100" s="328" t="s">
        <v>514</v>
      </c>
      <c r="C100" s="8" t="s">
        <v>515</v>
      </c>
      <c r="D100" s="8" t="s">
        <v>286</v>
      </c>
      <c r="E100" s="8" t="s">
        <v>53</v>
      </c>
      <c r="F100" s="130">
        <f>G100+H100</f>
        <v>483</v>
      </c>
      <c r="G100" s="289">
        <v>460</v>
      </c>
      <c r="H100" s="130">
        <v>23</v>
      </c>
      <c r="I100" s="15">
        <v>0</v>
      </c>
      <c r="J100" s="15"/>
      <c r="K100" s="15"/>
      <c r="L100" s="15"/>
      <c r="M100" s="15"/>
      <c r="N100" s="133">
        <f t="shared" si="77"/>
        <v>483</v>
      </c>
      <c r="O100" s="355">
        <f t="shared" ref="O100:O109" si="83">+G100</f>
        <v>460</v>
      </c>
      <c r="P100" s="355">
        <f t="shared" ref="P100:P109" si="84">+H100</f>
        <v>23</v>
      </c>
      <c r="Q100" s="355">
        <f t="shared" ref="Q100:Q109" si="85">+I100</f>
        <v>0</v>
      </c>
      <c r="R100" s="15"/>
    </row>
    <row r="101" spans="1:18" ht="90">
      <c r="A101" s="8">
        <v>9</v>
      </c>
      <c r="B101" s="328" t="s">
        <v>516</v>
      </c>
      <c r="C101" s="8" t="s">
        <v>511</v>
      </c>
      <c r="D101" s="8" t="s">
        <v>94</v>
      </c>
      <c r="E101" s="8" t="s">
        <v>53</v>
      </c>
      <c r="F101" s="130">
        <f t="shared" si="76"/>
        <v>430.5</v>
      </c>
      <c r="G101" s="289">
        <v>410</v>
      </c>
      <c r="H101" s="130">
        <v>20.5</v>
      </c>
      <c r="I101" s="15">
        <v>0</v>
      </c>
      <c r="J101" s="15"/>
      <c r="K101" s="15"/>
      <c r="L101" s="15"/>
      <c r="M101" s="15"/>
      <c r="N101" s="133">
        <f t="shared" si="77"/>
        <v>430.5</v>
      </c>
      <c r="O101" s="355">
        <f t="shared" si="83"/>
        <v>410</v>
      </c>
      <c r="P101" s="355">
        <f t="shared" si="84"/>
        <v>20.5</v>
      </c>
      <c r="Q101" s="355">
        <f t="shared" si="85"/>
        <v>0</v>
      </c>
      <c r="R101" s="15"/>
    </row>
    <row r="102" spans="1:18" ht="90">
      <c r="A102" s="8">
        <v>10</v>
      </c>
      <c r="B102" s="328" t="s">
        <v>809</v>
      </c>
      <c r="C102" s="8" t="s">
        <v>334</v>
      </c>
      <c r="D102" s="8" t="s">
        <v>94</v>
      </c>
      <c r="E102" s="8" t="s">
        <v>53</v>
      </c>
      <c r="F102" s="130">
        <f t="shared" si="76"/>
        <v>430.5</v>
      </c>
      <c r="G102" s="289">
        <v>410</v>
      </c>
      <c r="H102" s="130">
        <v>20.5</v>
      </c>
      <c r="I102" s="15">
        <v>0</v>
      </c>
      <c r="J102" s="15"/>
      <c r="K102" s="15"/>
      <c r="L102" s="15"/>
      <c r="M102" s="15"/>
      <c r="N102" s="133">
        <f t="shared" si="77"/>
        <v>430.5</v>
      </c>
      <c r="O102" s="355">
        <f t="shared" si="83"/>
        <v>410</v>
      </c>
      <c r="P102" s="355">
        <f t="shared" si="84"/>
        <v>20.5</v>
      </c>
      <c r="Q102" s="355">
        <f t="shared" si="85"/>
        <v>0</v>
      </c>
      <c r="R102" s="15"/>
    </row>
    <row r="103" spans="1:18" ht="90">
      <c r="A103" s="8">
        <v>11</v>
      </c>
      <c r="B103" s="328" t="s">
        <v>819</v>
      </c>
      <c r="C103" s="8" t="s">
        <v>334</v>
      </c>
      <c r="D103" s="8" t="s">
        <v>159</v>
      </c>
      <c r="E103" s="8" t="s">
        <v>53</v>
      </c>
      <c r="F103" s="130">
        <f t="shared" si="76"/>
        <v>420</v>
      </c>
      <c r="G103" s="289">
        <v>400</v>
      </c>
      <c r="H103" s="130">
        <v>20</v>
      </c>
      <c r="I103" s="15">
        <v>0</v>
      </c>
      <c r="J103" s="15"/>
      <c r="K103" s="15"/>
      <c r="L103" s="15"/>
      <c r="M103" s="15"/>
      <c r="N103" s="133">
        <f t="shared" si="77"/>
        <v>420</v>
      </c>
      <c r="O103" s="355">
        <f t="shared" si="83"/>
        <v>400</v>
      </c>
      <c r="P103" s="355">
        <f t="shared" si="84"/>
        <v>20</v>
      </c>
      <c r="Q103" s="355">
        <f t="shared" si="85"/>
        <v>0</v>
      </c>
      <c r="R103" s="15"/>
    </row>
    <row r="104" spans="1:18" ht="90">
      <c r="A104" s="159">
        <v>12</v>
      </c>
      <c r="B104" s="328" t="s">
        <v>820</v>
      </c>
      <c r="C104" s="8" t="s">
        <v>511</v>
      </c>
      <c r="D104" s="8" t="s">
        <v>159</v>
      </c>
      <c r="E104" s="8" t="s">
        <v>53</v>
      </c>
      <c r="F104" s="130">
        <f t="shared" si="76"/>
        <v>420</v>
      </c>
      <c r="G104" s="289">
        <v>400</v>
      </c>
      <c r="H104" s="130">
        <v>20</v>
      </c>
      <c r="I104" s="15">
        <v>0</v>
      </c>
      <c r="J104" s="15"/>
      <c r="K104" s="15"/>
      <c r="L104" s="15"/>
      <c r="M104" s="15"/>
      <c r="N104" s="133">
        <f t="shared" si="77"/>
        <v>420</v>
      </c>
      <c r="O104" s="355">
        <f t="shared" si="83"/>
        <v>400</v>
      </c>
      <c r="P104" s="355">
        <f t="shared" si="84"/>
        <v>20</v>
      </c>
      <c r="Q104" s="355">
        <f t="shared" si="85"/>
        <v>0</v>
      </c>
      <c r="R104" s="15"/>
    </row>
    <row r="105" spans="1:18" ht="90">
      <c r="A105" s="8">
        <v>13</v>
      </c>
      <c r="B105" s="328" t="s">
        <v>517</v>
      </c>
      <c r="C105" s="8" t="s">
        <v>506</v>
      </c>
      <c r="D105" s="8" t="s">
        <v>159</v>
      </c>
      <c r="E105" s="8" t="s">
        <v>53</v>
      </c>
      <c r="F105" s="130">
        <f t="shared" si="76"/>
        <v>420</v>
      </c>
      <c r="G105" s="289">
        <v>400</v>
      </c>
      <c r="H105" s="130">
        <v>20</v>
      </c>
      <c r="I105" s="15">
        <v>0</v>
      </c>
      <c r="J105" s="15"/>
      <c r="K105" s="15"/>
      <c r="L105" s="15"/>
      <c r="M105" s="15"/>
      <c r="N105" s="133">
        <f t="shared" si="77"/>
        <v>420</v>
      </c>
      <c r="O105" s="355">
        <f t="shared" si="83"/>
        <v>400</v>
      </c>
      <c r="P105" s="355">
        <f t="shared" si="84"/>
        <v>20</v>
      </c>
      <c r="Q105" s="355">
        <f t="shared" si="85"/>
        <v>0</v>
      </c>
      <c r="R105" s="15"/>
    </row>
    <row r="106" spans="1:18" ht="30">
      <c r="A106" s="8">
        <v>14</v>
      </c>
      <c r="B106" s="328" t="s">
        <v>518</v>
      </c>
      <c r="C106" s="8" t="s">
        <v>502</v>
      </c>
      <c r="D106" s="8" t="s">
        <v>519</v>
      </c>
      <c r="E106" s="8" t="s">
        <v>53</v>
      </c>
      <c r="F106" s="130">
        <f t="shared" si="76"/>
        <v>157.5</v>
      </c>
      <c r="G106" s="289">
        <v>150</v>
      </c>
      <c r="H106" s="130">
        <v>7.5</v>
      </c>
      <c r="I106" s="15">
        <v>0</v>
      </c>
      <c r="J106" s="15"/>
      <c r="K106" s="15"/>
      <c r="L106" s="15"/>
      <c r="M106" s="15"/>
      <c r="N106" s="133">
        <f t="shared" si="77"/>
        <v>157.5</v>
      </c>
      <c r="O106" s="355">
        <f t="shared" si="83"/>
        <v>150</v>
      </c>
      <c r="P106" s="355">
        <f t="shared" si="84"/>
        <v>7.5</v>
      </c>
      <c r="Q106" s="355">
        <f t="shared" si="85"/>
        <v>0</v>
      </c>
      <c r="R106" s="15"/>
    </row>
    <row r="107" spans="1:18" ht="30">
      <c r="A107" s="8">
        <v>15</v>
      </c>
      <c r="B107" s="328" t="s">
        <v>520</v>
      </c>
      <c r="C107" s="8" t="s">
        <v>502</v>
      </c>
      <c r="D107" s="8" t="s">
        <v>521</v>
      </c>
      <c r="E107" s="8" t="s">
        <v>53</v>
      </c>
      <c r="F107" s="130">
        <f t="shared" si="76"/>
        <v>210</v>
      </c>
      <c r="G107" s="289">
        <v>200</v>
      </c>
      <c r="H107" s="130">
        <v>10</v>
      </c>
      <c r="I107" s="15">
        <v>0</v>
      </c>
      <c r="J107" s="15"/>
      <c r="K107" s="15"/>
      <c r="L107" s="15"/>
      <c r="M107" s="15"/>
      <c r="N107" s="133">
        <f t="shared" si="77"/>
        <v>210</v>
      </c>
      <c r="O107" s="355">
        <f t="shared" si="83"/>
        <v>200</v>
      </c>
      <c r="P107" s="355">
        <f t="shared" si="84"/>
        <v>10</v>
      </c>
      <c r="Q107" s="355">
        <f t="shared" si="85"/>
        <v>0</v>
      </c>
      <c r="R107" s="15"/>
    </row>
    <row r="108" spans="1:18" ht="30">
      <c r="A108" s="8">
        <v>16</v>
      </c>
      <c r="B108" s="328" t="s">
        <v>522</v>
      </c>
      <c r="C108" s="8" t="s">
        <v>515</v>
      </c>
      <c r="D108" s="8" t="s">
        <v>523</v>
      </c>
      <c r="E108" s="8" t="s">
        <v>53</v>
      </c>
      <c r="F108" s="130">
        <f t="shared" si="76"/>
        <v>52.5</v>
      </c>
      <c r="G108" s="289">
        <v>50</v>
      </c>
      <c r="H108" s="130">
        <v>2.5</v>
      </c>
      <c r="I108" s="15">
        <v>0</v>
      </c>
      <c r="J108" s="15"/>
      <c r="K108" s="15"/>
      <c r="L108" s="15"/>
      <c r="M108" s="15"/>
      <c r="N108" s="133">
        <f t="shared" si="77"/>
        <v>52.5</v>
      </c>
      <c r="O108" s="355">
        <f t="shared" si="83"/>
        <v>50</v>
      </c>
      <c r="P108" s="355">
        <f t="shared" si="84"/>
        <v>2.5</v>
      </c>
      <c r="Q108" s="355">
        <f t="shared" si="85"/>
        <v>0</v>
      </c>
      <c r="R108" s="15"/>
    </row>
    <row r="109" spans="1:18" ht="45">
      <c r="A109" s="8">
        <v>17</v>
      </c>
      <c r="B109" s="328" t="s">
        <v>524</v>
      </c>
      <c r="C109" s="8" t="s">
        <v>513</v>
      </c>
      <c r="D109" s="8" t="s">
        <v>525</v>
      </c>
      <c r="E109" s="8" t="s">
        <v>53</v>
      </c>
      <c r="F109" s="130">
        <f t="shared" si="76"/>
        <v>210</v>
      </c>
      <c r="G109" s="289">
        <v>200</v>
      </c>
      <c r="H109" s="130">
        <v>10</v>
      </c>
      <c r="I109" s="15">
        <v>0</v>
      </c>
      <c r="J109" s="15"/>
      <c r="K109" s="15"/>
      <c r="L109" s="15"/>
      <c r="M109" s="15"/>
      <c r="N109" s="133">
        <f t="shared" si="77"/>
        <v>210</v>
      </c>
      <c r="O109" s="355">
        <f t="shared" si="83"/>
        <v>200</v>
      </c>
      <c r="P109" s="355">
        <f t="shared" si="84"/>
        <v>10</v>
      </c>
      <c r="Q109" s="355">
        <f t="shared" si="85"/>
        <v>0</v>
      </c>
      <c r="R109" s="15"/>
    </row>
  </sheetData>
  <mergeCells count="14">
    <mergeCell ref="R4:R5"/>
    <mergeCell ref="B8:C8"/>
    <mergeCell ref="B10:C10"/>
    <mergeCell ref="J4:M4"/>
    <mergeCell ref="A1:R1"/>
    <mergeCell ref="A2:R2"/>
    <mergeCell ref="H3:R3"/>
    <mergeCell ref="A4:A5"/>
    <mergeCell ref="B4:B5"/>
    <mergeCell ref="C4:C5"/>
    <mergeCell ref="D4:D5"/>
    <mergeCell ref="E4:E5"/>
    <mergeCell ref="F4:I4"/>
    <mergeCell ref="N4:Q4"/>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O100"/>
  <sheetViews>
    <sheetView topLeftCell="A82" zoomScale="55" zoomScaleNormal="55" workbookViewId="0">
      <selection activeCell="O101" sqref="O101"/>
    </sheetView>
  </sheetViews>
  <sheetFormatPr defaultRowHeight="15"/>
  <cols>
    <col min="1" max="1" width="6.28515625" customWidth="1"/>
    <col min="2" max="2" width="34.42578125" customWidth="1"/>
    <col min="3" max="3" width="12.7109375" customWidth="1"/>
    <col min="4" max="4" width="31.42578125" customWidth="1"/>
    <col min="6" max="13" width="11.85546875" customWidth="1"/>
  </cols>
  <sheetData>
    <row r="1" spans="1:14">
      <c r="A1" s="654" t="s">
        <v>553</v>
      </c>
      <c r="B1" s="654"/>
      <c r="C1" s="654"/>
      <c r="D1" s="654"/>
      <c r="E1" s="654"/>
      <c r="F1" s="654"/>
      <c r="G1" s="654"/>
      <c r="H1" s="654"/>
      <c r="I1" s="654"/>
      <c r="J1" s="654"/>
      <c r="K1" s="654"/>
      <c r="L1" s="654"/>
      <c r="M1" s="654"/>
      <c r="N1" s="654"/>
    </row>
    <row r="2" spans="1:14">
      <c r="A2" s="642" t="s">
        <v>913</v>
      </c>
      <c r="B2" s="642"/>
      <c r="C2" s="642"/>
      <c r="D2" s="642"/>
      <c r="E2" s="642"/>
      <c r="F2" s="642"/>
      <c r="G2" s="642"/>
      <c r="H2" s="642"/>
      <c r="I2" s="642"/>
      <c r="J2" s="642"/>
      <c r="K2" s="642"/>
      <c r="L2" s="642"/>
      <c r="M2" s="642"/>
      <c r="N2" s="642"/>
    </row>
    <row r="3" spans="1:14">
      <c r="A3" s="2"/>
      <c r="B3" s="234"/>
      <c r="C3" s="2"/>
      <c r="D3" s="2"/>
      <c r="E3" s="2"/>
      <c r="F3" s="235"/>
      <c r="G3" s="282"/>
      <c r="H3" s="643" t="s">
        <v>0</v>
      </c>
      <c r="I3" s="643"/>
      <c r="J3" s="643"/>
      <c r="K3" s="643"/>
      <c r="L3" s="643"/>
      <c r="M3" s="643"/>
      <c r="N3" s="643"/>
    </row>
    <row r="4" spans="1:14">
      <c r="A4" s="644" t="s">
        <v>1</v>
      </c>
      <c r="B4" s="645" t="s">
        <v>2</v>
      </c>
      <c r="C4" s="644" t="s">
        <v>3</v>
      </c>
      <c r="D4" s="644" t="s">
        <v>4</v>
      </c>
      <c r="E4" s="644" t="s">
        <v>5</v>
      </c>
      <c r="F4" s="655" t="s">
        <v>6</v>
      </c>
      <c r="G4" s="656"/>
      <c r="H4" s="656"/>
      <c r="I4" s="657"/>
      <c r="J4" s="655" t="s">
        <v>7</v>
      </c>
      <c r="K4" s="656"/>
      <c r="L4" s="656"/>
      <c r="M4" s="657"/>
      <c r="N4" s="644" t="s">
        <v>8</v>
      </c>
    </row>
    <row r="5" spans="1:14" ht="42.75">
      <c r="A5" s="644"/>
      <c r="B5" s="645"/>
      <c r="C5" s="644"/>
      <c r="D5" s="644"/>
      <c r="E5" s="644"/>
      <c r="F5" s="3" t="s">
        <v>9</v>
      </c>
      <c r="G5" s="283" t="s">
        <v>10</v>
      </c>
      <c r="H5" s="3" t="s">
        <v>11</v>
      </c>
      <c r="I5" s="3" t="s">
        <v>12</v>
      </c>
      <c r="J5" s="3" t="s">
        <v>9</v>
      </c>
      <c r="K5" s="3" t="s">
        <v>10</v>
      </c>
      <c r="L5" s="3" t="s">
        <v>11</v>
      </c>
      <c r="M5" s="3" t="s">
        <v>12</v>
      </c>
      <c r="N5" s="644"/>
    </row>
    <row r="6" spans="1:14">
      <c r="A6" s="4"/>
      <c r="B6" s="298" t="s">
        <v>13</v>
      </c>
      <c r="C6" s="4"/>
      <c r="D6" s="4"/>
      <c r="E6" s="4"/>
      <c r="F6" s="5">
        <f t="shared" ref="F6:M6" si="0">F7+F13+F15+F17+F1026+F1029+F1035+F1037</f>
        <v>241228</v>
      </c>
      <c r="G6" s="281">
        <f t="shared" si="0"/>
        <v>231351</v>
      </c>
      <c r="H6" s="5">
        <f t="shared" si="0"/>
        <v>9877</v>
      </c>
      <c r="I6" s="5">
        <f t="shared" si="0"/>
        <v>0</v>
      </c>
      <c r="J6" s="5">
        <f t="shared" si="0"/>
        <v>49667</v>
      </c>
      <c r="K6" s="5">
        <f t="shared" si="0"/>
        <v>47503</v>
      </c>
      <c r="L6" s="5">
        <f t="shared" si="0"/>
        <v>2164</v>
      </c>
      <c r="M6" s="5">
        <f t="shared" si="0"/>
        <v>0</v>
      </c>
      <c r="N6" s="4"/>
    </row>
    <row r="7" spans="1:14" ht="57" hidden="1">
      <c r="A7" s="298" t="s">
        <v>14</v>
      </c>
      <c r="B7" s="236" t="s">
        <v>15</v>
      </c>
      <c r="C7" s="236"/>
      <c r="D7" s="236"/>
      <c r="E7" s="236"/>
      <c r="F7" s="237">
        <f>F8+F10</f>
        <v>135888</v>
      </c>
      <c r="G7" s="284">
        <f>G8+G10</f>
        <v>130885</v>
      </c>
      <c r="H7" s="237">
        <f>H8+H10</f>
        <v>5003</v>
      </c>
      <c r="I7" s="237"/>
      <c r="J7" s="237">
        <f>J8+J10</f>
        <v>34687</v>
      </c>
      <c r="K7" s="237">
        <f>K8+K10</f>
        <v>33141</v>
      </c>
      <c r="L7" s="237">
        <f>L8+L10</f>
        <v>1546</v>
      </c>
      <c r="M7" s="237">
        <f>M8+M10</f>
        <v>0</v>
      </c>
      <c r="N7" s="236"/>
    </row>
    <row r="8" spans="1:14" hidden="1">
      <c r="A8" s="6" t="s">
        <v>16</v>
      </c>
      <c r="B8" s="658" t="s">
        <v>17</v>
      </c>
      <c r="C8" s="658"/>
      <c r="D8" s="239"/>
      <c r="E8" s="239"/>
      <c r="F8" s="240">
        <f t="shared" ref="F8:F14" si="1">G8+H8</f>
        <v>9796</v>
      </c>
      <c r="G8" s="285">
        <f>SUM(G9:G9)</f>
        <v>9020</v>
      </c>
      <c r="H8" s="240">
        <f>SUM(H9:H9)</f>
        <v>776</v>
      </c>
      <c r="I8" s="240">
        <f>J8+K8</f>
        <v>1020</v>
      </c>
      <c r="J8" s="240">
        <f>SUM(J9:J9)</f>
        <v>530</v>
      </c>
      <c r="K8" s="240">
        <f>SUM(K9:K9)</f>
        <v>490</v>
      </c>
      <c r="L8" s="240">
        <f>SUM(L9:L9)</f>
        <v>40</v>
      </c>
      <c r="M8" s="240">
        <f>SUM(M9:M9)</f>
        <v>0</v>
      </c>
      <c r="N8" s="239"/>
    </row>
    <row r="9" spans="1:14" ht="30" hidden="1">
      <c r="A9" s="8">
        <v>5</v>
      </c>
      <c r="B9" s="241" t="s">
        <v>23</v>
      </c>
      <c r="C9" s="241"/>
      <c r="D9" s="241"/>
      <c r="E9" s="9" t="s">
        <v>19</v>
      </c>
      <c r="F9" s="242">
        <f t="shared" si="1"/>
        <v>9796</v>
      </c>
      <c r="G9" s="286">
        <v>9020</v>
      </c>
      <c r="H9" s="243">
        <v>776</v>
      </c>
      <c r="I9" s="241"/>
      <c r="J9" s="242">
        <f t="shared" ref="J9" si="2">K9+L9</f>
        <v>530</v>
      </c>
      <c r="K9" s="244">
        <v>490</v>
      </c>
      <c r="L9" s="244">
        <v>40</v>
      </c>
      <c r="M9" s="244"/>
      <c r="N9" s="241"/>
    </row>
    <row r="10" spans="1:14" hidden="1">
      <c r="A10" s="6" t="s">
        <v>26</v>
      </c>
      <c r="B10" s="712" t="s">
        <v>27</v>
      </c>
      <c r="C10" s="713"/>
      <c r="D10" s="6"/>
      <c r="E10" s="6"/>
      <c r="F10" s="240">
        <f t="shared" si="1"/>
        <v>126092</v>
      </c>
      <c r="G10" s="285">
        <f>SUM(G11:G12)</f>
        <v>121865</v>
      </c>
      <c r="H10" s="240">
        <f>SUM(H11:H12)</f>
        <v>4227</v>
      </c>
      <c r="I10" s="240"/>
      <c r="J10" s="240">
        <f t="shared" ref="J10:M10" si="3">SUM(J11:J12)</f>
        <v>34157</v>
      </c>
      <c r="K10" s="240">
        <f t="shared" si="3"/>
        <v>32651</v>
      </c>
      <c r="L10" s="240">
        <f t="shared" si="3"/>
        <v>1506</v>
      </c>
      <c r="M10" s="240">
        <f t="shared" si="3"/>
        <v>0</v>
      </c>
      <c r="N10" s="6"/>
    </row>
    <row r="11" spans="1:14" ht="60" hidden="1">
      <c r="A11" s="10">
        <v>1</v>
      </c>
      <c r="B11" s="241" t="s">
        <v>28</v>
      </c>
      <c r="C11" s="10" t="s">
        <v>29</v>
      </c>
      <c r="D11" s="10" t="s">
        <v>30</v>
      </c>
      <c r="E11" s="8" t="s">
        <v>31</v>
      </c>
      <c r="F11" s="242">
        <f t="shared" si="1"/>
        <v>70000</v>
      </c>
      <c r="G11" s="287">
        <v>66247</v>
      </c>
      <c r="H11" s="242">
        <v>3753</v>
      </c>
      <c r="I11" s="245"/>
      <c r="J11" s="242">
        <f>K11+L11</f>
        <v>32157</v>
      </c>
      <c r="K11" s="242">
        <v>30651</v>
      </c>
      <c r="L11" s="242">
        <v>1506</v>
      </c>
      <c r="M11" s="245"/>
      <c r="N11" s="4"/>
    </row>
    <row r="12" spans="1:14" ht="60" hidden="1">
      <c r="A12" s="10">
        <v>2</v>
      </c>
      <c r="B12" s="241" t="s">
        <v>32</v>
      </c>
      <c r="C12" s="10" t="s">
        <v>29</v>
      </c>
      <c r="D12" s="10" t="s">
        <v>30</v>
      </c>
      <c r="E12" s="8" t="s">
        <v>33</v>
      </c>
      <c r="F12" s="242">
        <f t="shared" si="1"/>
        <v>56092</v>
      </c>
      <c r="G12" s="287">
        <v>55618</v>
      </c>
      <c r="H12" s="242">
        <v>474</v>
      </c>
      <c r="I12" s="246"/>
      <c r="J12" s="242">
        <f>K12+L12</f>
        <v>2000</v>
      </c>
      <c r="K12" s="242">
        <v>2000</v>
      </c>
      <c r="L12" s="242"/>
      <c r="M12" s="245"/>
      <c r="N12" s="4"/>
    </row>
    <row r="13" spans="1:14" ht="42.75" hidden="1">
      <c r="A13" s="298" t="s">
        <v>34</v>
      </c>
      <c r="B13" s="236" t="s">
        <v>35</v>
      </c>
      <c r="C13" s="236"/>
      <c r="D13" s="236"/>
      <c r="E13" s="4"/>
      <c r="F13" s="247">
        <f t="shared" si="1"/>
        <v>45000</v>
      </c>
      <c r="G13" s="288">
        <f>SUM(G14:G14)</f>
        <v>43000</v>
      </c>
      <c r="H13" s="247">
        <f>SUM(H14:H14)</f>
        <v>2000</v>
      </c>
      <c r="I13" s="248"/>
      <c r="J13" s="247">
        <f>K13+L13</f>
        <v>2000</v>
      </c>
      <c r="K13" s="247">
        <f>SUM(K14:K14)</f>
        <v>2000</v>
      </c>
      <c r="L13" s="247">
        <f>SUM(L14:L14)</f>
        <v>0</v>
      </c>
      <c r="M13" s="247">
        <f>SUM(M14:M14)</f>
        <v>0</v>
      </c>
      <c r="N13" s="4"/>
    </row>
    <row r="14" spans="1:14" ht="60" hidden="1">
      <c r="A14" s="10">
        <v>5</v>
      </c>
      <c r="B14" s="241" t="s">
        <v>37</v>
      </c>
      <c r="C14" s="10" t="s">
        <v>38</v>
      </c>
      <c r="D14" s="10" t="s">
        <v>36</v>
      </c>
      <c r="E14" s="8" t="s">
        <v>33</v>
      </c>
      <c r="F14" s="242">
        <f t="shared" si="1"/>
        <v>45000</v>
      </c>
      <c r="G14" s="287">
        <v>43000</v>
      </c>
      <c r="H14" s="242">
        <v>2000</v>
      </c>
      <c r="I14" s="246"/>
      <c r="J14" s="242">
        <f t="shared" ref="J14" si="4">K14+L14</f>
        <v>2000</v>
      </c>
      <c r="K14" s="242">
        <v>2000</v>
      </c>
      <c r="L14" s="242"/>
      <c r="M14" s="245"/>
      <c r="N14" s="4"/>
    </row>
    <row r="15" spans="1:14" ht="85.5" hidden="1">
      <c r="A15" s="11" t="s">
        <v>39</v>
      </c>
      <c r="B15" s="239" t="s">
        <v>40</v>
      </c>
      <c r="C15" s="11"/>
      <c r="D15" s="11"/>
      <c r="E15" s="298"/>
      <c r="F15" s="247">
        <f t="shared" ref="F15:M15" si="5">F16</f>
        <v>30170</v>
      </c>
      <c r="G15" s="288">
        <f t="shared" si="5"/>
        <v>28733</v>
      </c>
      <c r="H15" s="247">
        <f t="shared" si="5"/>
        <v>1437</v>
      </c>
      <c r="I15" s="247">
        <f t="shared" si="5"/>
        <v>0</v>
      </c>
      <c r="J15" s="247">
        <f t="shared" si="5"/>
        <v>6490</v>
      </c>
      <c r="K15" s="247">
        <f t="shared" si="5"/>
        <v>6181</v>
      </c>
      <c r="L15" s="247">
        <f t="shared" si="5"/>
        <v>309</v>
      </c>
      <c r="M15" s="247">
        <f t="shared" si="5"/>
        <v>0</v>
      </c>
      <c r="N15" s="6"/>
    </row>
    <row r="16" spans="1:14" ht="30" hidden="1">
      <c r="A16" s="10">
        <v>1</v>
      </c>
      <c r="B16" s="241" t="s">
        <v>41</v>
      </c>
      <c r="C16" s="10" t="s">
        <v>42</v>
      </c>
      <c r="D16" s="10" t="s">
        <v>43</v>
      </c>
      <c r="E16" s="8" t="s">
        <v>31</v>
      </c>
      <c r="F16" s="242">
        <f>G16+H16</f>
        <v>30170</v>
      </c>
      <c r="G16" s="287">
        <v>28733</v>
      </c>
      <c r="H16" s="242">
        <v>1437</v>
      </c>
      <c r="I16" s="246"/>
      <c r="J16" s="242">
        <f>K16+L16</f>
        <v>6490</v>
      </c>
      <c r="K16" s="242">
        <v>6181</v>
      </c>
      <c r="L16" s="242">
        <v>309</v>
      </c>
      <c r="M16" s="245"/>
      <c r="N16" s="4"/>
    </row>
    <row r="17" spans="1:15" ht="57" hidden="1">
      <c r="A17" s="298" t="s">
        <v>44</v>
      </c>
      <c r="B17" s="236" t="s">
        <v>45</v>
      </c>
      <c r="C17" s="236"/>
      <c r="D17" s="236"/>
      <c r="E17" s="236"/>
      <c r="F17" s="237">
        <f t="shared" ref="F17:M17" si="6">F18+F1003+F1007+F1009</f>
        <v>30170</v>
      </c>
      <c r="G17" s="284">
        <f t="shared" si="6"/>
        <v>28733</v>
      </c>
      <c r="H17" s="237">
        <f t="shared" si="6"/>
        <v>1437</v>
      </c>
      <c r="I17" s="237">
        <f t="shared" si="6"/>
        <v>0</v>
      </c>
      <c r="J17" s="237">
        <f t="shared" si="6"/>
        <v>6490</v>
      </c>
      <c r="K17" s="237">
        <f t="shared" si="6"/>
        <v>6181</v>
      </c>
      <c r="L17" s="237">
        <f t="shared" si="6"/>
        <v>309</v>
      </c>
      <c r="M17" s="237">
        <f t="shared" si="6"/>
        <v>0</v>
      </c>
      <c r="N17" s="236"/>
    </row>
    <row r="18" spans="1:15" ht="30" hidden="1">
      <c r="A18" s="10">
        <v>1</v>
      </c>
      <c r="B18" s="9" t="s">
        <v>41</v>
      </c>
      <c r="C18" s="10" t="s">
        <v>42</v>
      </c>
      <c r="D18" s="10" t="s">
        <v>43</v>
      </c>
      <c r="E18" s="8" t="s">
        <v>31</v>
      </c>
      <c r="F18" s="130">
        <f>G18+H18</f>
        <v>30170</v>
      </c>
      <c r="G18" s="289">
        <v>28733</v>
      </c>
      <c r="H18" s="130">
        <v>1437</v>
      </c>
      <c r="I18" s="131"/>
      <c r="J18" s="130">
        <f>K18+L18</f>
        <v>6490</v>
      </c>
      <c r="K18" s="130">
        <v>6181</v>
      </c>
      <c r="L18" s="130">
        <v>309</v>
      </c>
      <c r="M18" s="4"/>
      <c r="N18" s="4"/>
    </row>
    <row r="19" spans="1:15" ht="57">
      <c r="A19" s="298" t="s">
        <v>44</v>
      </c>
      <c r="B19" s="12" t="s">
        <v>45</v>
      </c>
      <c r="C19" s="12"/>
      <c r="D19" s="12"/>
      <c r="E19" s="12"/>
      <c r="F19" s="127" t="e">
        <f>F20+#REF!+#REF!+#REF!</f>
        <v>#REF!</v>
      </c>
      <c r="G19" s="290" t="e">
        <f>G20+#REF!+#REF!+#REF!</f>
        <v>#REF!</v>
      </c>
      <c r="H19" s="127" t="e">
        <f>H20+#REF!+#REF!+#REF!</f>
        <v>#REF!</v>
      </c>
      <c r="I19" s="127" t="e">
        <f>I20+#REF!+#REF!+#REF!</f>
        <v>#REF!</v>
      </c>
      <c r="J19" s="127" t="e">
        <f>J20+#REF!+#REF!+#REF!</f>
        <v>#REF!</v>
      </c>
      <c r="K19" s="127" t="e">
        <f>K20+#REF!+#REF!+#REF!</f>
        <v>#REF!</v>
      </c>
      <c r="L19" s="127" t="e">
        <f>L20+#REF!+#REF!+#REF!</f>
        <v>#REF!</v>
      </c>
      <c r="M19" s="127" t="e">
        <f>M20+#REF!+#REF!+#REF!</f>
        <v>#REF!</v>
      </c>
      <c r="N19" s="12"/>
    </row>
    <row r="20" spans="1:15" ht="60">
      <c r="A20" s="6" t="s">
        <v>46</v>
      </c>
      <c r="B20" s="128" t="s">
        <v>47</v>
      </c>
      <c r="C20" s="128"/>
      <c r="D20" s="128"/>
      <c r="E20" s="128"/>
      <c r="F20" s="132" t="e">
        <f>#REF!+#REF!+#REF!+#REF!+F21+#REF!+#REF!+#REF!</f>
        <v>#REF!</v>
      </c>
      <c r="G20" s="291" t="e">
        <f>#REF!+#REF!+#REF!+#REF!+G21+#REF!+#REF!+#REF!</f>
        <v>#REF!</v>
      </c>
      <c r="H20" s="132" t="e">
        <f>#REF!+#REF!+#REF!+#REF!+H21+#REF!+#REF!+#REF!</f>
        <v>#REF!</v>
      </c>
      <c r="I20" s="132" t="e">
        <f>#REF!+#REF!+#REF!+#REF!+I21+#REF!+#REF!+#REF!</f>
        <v>#REF!</v>
      </c>
      <c r="J20" s="132" t="e">
        <f>#REF!+#REF!+#REF!+#REF!+J21+#REF!+#REF!+#REF!</f>
        <v>#REF!</v>
      </c>
      <c r="K20" s="132" t="e">
        <f>#REF!+#REF!+#REF!+#REF!+K21+#REF!+#REF!+#REF!+0.1</f>
        <v>#REF!</v>
      </c>
      <c r="L20" s="132" t="e">
        <f>#REF!+#REF!+#REF!+#REF!+L21+#REF!+#REF!+#REF!</f>
        <v>#REF!</v>
      </c>
      <c r="M20" s="132" t="e">
        <f>#REF!+#REF!+#REF!+#REF!+M21+#REF!+#REF!+#REF!</f>
        <v>#REF!</v>
      </c>
      <c r="N20" s="12"/>
    </row>
    <row r="21" spans="1:15">
      <c r="A21" s="298"/>
      <c r="B21" s="298" t="s">
        <v>715</v>
      </c>
      <c r="C21" s="15"/>
      <c r="D21" s="15"/>
      <c r="E21" s="15"/>
      <c r="F21" s="388">
        <f t="shared" ref="F21:M21" si="7">F22+F26+F31+F33+F36+F42+F48+F51+F60+F56+F64+F69+F74+F78+F80+F85+F90</f>
        <v>41031.82</v>
      </c>
      <c r="G21" s="388">
        <f t="shared" si="7"/>
        <v>39076.270000000004</v>
      </c>
      <c r="H21" s="388">
        <f t="shared" si="7"/>
        <v>1955.5500000000002</v>
      </c>
      <c r="I21" s="388">
        <f t="shared" si="7"/>
        <v>0</v>
      </c>
      <c r="J21" s="388">
        <f t="shared" si="7"/>
        <v>41031.82</v>
      </c>
      <c r="K21" s="388">
        <f t="shared" si="7"/>
        <v>39076.270000000004</v>
      </c>
      <c r="L21" s="388">
        <f t="shared" si="7"/>
        <v>1955.5500000000002</v>
      </c>
      <c r="M21" s="388">
        <f t="shared" si="7"/>
        <v>0</v>
      </c>
      <c r="N21" s="362"/>
    </row>
    <row r="22" spans="1:15">
      <c r="A22" s="6" t="s">
        <v>60</v>
      </c>
      <c r="B22" s="6" t="s">
        <v>61</v>
      </c>
      <c r="C22" s="16"/>
      <c r="D22" s="16"/>
      <c r="E22" s="16"/>
      <c r="F22" s="407">
        <f t="shared" ref="F22:M22" si="8">SUM(F23:F25)</f>
        <v>1365</v>
      </c>
      <c r="G22" s="409">
        <f t="shared" si="8"/>
        <v>1300</v>
      </c>
      <c r="H22" s="409">
        <f t="shared" si="8"/>
        <v>65</v>
      </c>
      <c r="I22" s="409">
        <f t="shared" si="8"/>
        <v>0</v>
      </c>
      <c r="J22" s="409">
        <f t="shared" si="8"/>
        <v>1365</v>
      </c>
      <c r="K22" s="409">
        <f t="shared" si="8"/>
        <v>1300</v>
      </c>
      <c r="L22" s="409">
        <f t="shared" si="8"/>
        <v>65</v>
      </c>
      <c r="M22" s="409">
        <f t="shared" si="8"/>
        <v>0</v>
      </c>
      <c r="N22" s="411"/>
    </row>
    <row r="23" spans="1:15" ht="60">
      <c r="A23" s="8">
        <v>7</v>
      </c>
      <c r="B23" s="328" t="s">
        <v>76</v>
      </c>
      <c r="C23" s="8" t="s">
        <v>63</v>
      </c>
      <c r="D23" s="22" t="s">
        <v>77</v>
      </c>
      <c r="E23" s="8" t="s">
        <v>78</v>
      </c>
      <c r="F23" s="130">
        <f t="shared" ref="F23:F41" si="9">G23+H23</f>
        <v>472.5</v>
      </c>
      <c r="G23" s="289">
        <v>450</v>
      </c>
      <c r="H23" s="130">
        <v>22.5</v>
      </c>
      <c r="I23" s="15">
        <v>0</v>
      </c>
      <c r="J23" s="133">
        <f t="shared" ref="J23:J41" si="10">K23+L23</f>
        <v>472.5</v>
      </c>
      <c r="K23" s="355">
        <f>+G23</f>
        <v>450</v>
      </c>
      <c r="L23" s="355">
        <f t="shared" ref="L23:M23" si="11">+H23</f>
        <v>22.5</v>
      </c>
      <c r="M23" s="355">
        <f t="shared" si="11"/>
        <v>0</v>
      </c>
      <c r="N23" s="15"/>
      <c r="O23">
        <v>1</v>
      </c>
    </row>
    <row r="24" spans="1:15" ht="90">
      <c r="A24" s="8">
        <v>8</v>
      </c>
      <c r="B24" s="328" t="s">
        <v>79</v>
      </c>
      <c r="C24" s="8" t="s">
        <v>66</v>
      </c>
      <c r="D24" s="8" t="s">
        <v>80</v>
      </c>
      <c r="E24" s="8" t="s">
        <v>54</v>
      </c>
      <c r="F24" s="130">
        <f t="shared" si="9"/>
        <v>472.5</v>
      </c>
      <c r="G24" s="289">
        <v>450</v>
      </c>
      <c r="H24" s="130">
        <v>22.5</v>
      </c>
      <c r="I24" s="15">
        <v>0</v>
      </c>
      <c r="J24" s="133">
        <f t="shared" si="10"/>
        <v>472.5</v>
      </c>
      <c r="K24" s="355">
        <f t="shared" ref="K24:K25" si="12">+G24</f>
        <v>450</v>
      </c>
      <c r="L24" s="355">
        <f t="shared" ref="L24:L25" si="13">+H24</f>
        <v>22.5</v>
      </c>
      <c r="M24" s="355">
        <f t="shared" ref="M24:M25" si="14">+I24</f>
        <v>0</v>
      </c>
      <c r="N24" s="15"/>
      <c r="O24">
        <v>1</v>
      </c>
    </row>
    <row r="25" spans="1:15" ht="90">
      <c r="A25" s="8">
        <v>9</v>
      </c>
      <c r="B25" s="328" t="s">
        <v>81</v>
      </c>
      <c r="C25" s="8" t="s">
        <v>69</v>
      </c>
      <c r="D25" s="8" t="s">
        <v>70</v>
      </c>
      <c r="E25" s="8" t="s">
        <v>54</v>
      </c>
      <c r="F25" s="130">
        <f t="shared" si="9"/>
        <v>420</v>
      </c>
      <c r="G25" s="289">
        <v>400</v>
      </c>
      <c r="H25" s="130">
        <v>20</v>
      </c>
      <c r="I25" s="15">
        <v>0</v>
      </c>
      <c r="J25" s="133">
        <f t="shared" si="10"/>
        <v>420</v>
      </c>
      <c r="K25" s="355">
        <f t="shared" si="12"/>
        <v>400</v>
      </c>
      <c r="L25" s="355">
        <f t="shared" si="13"/>
        <v>20</v>
      </c>
      <c r="M25" s="355">
        <f t="shared" si="14"/>
        <v>0</v>
      </c>
      <c r="N25" s="15"/>
      <c r="O25">
        <v>1</v>
      </c>
    </row>
    <row r="26" spans="1:15">
      <c r="A26" s="6" t="s">
        <v>90</v>
      </c>
      <c r="B26" s="326" t="s">
        <v>91</v>
      </c>
      <c r="C26" s="6"/>
      <c r="D26" s="23">
        <v>0</v>
      </c>
      <c r="E26" s="23"/>
      <c r="F26" s="345">
        <f t="shared" ref="F26:M26" si="15">SUM(F27:F30)</f>
        <v>2994.01</v>
      </c>
      <c r="G26" s="346">
        <f t="shared" si="15"/>
        <v>2851.44</v>
      </c>
      <c r="H26" s="345">
        <f t="shared" si="15"/>
        <v>142.57</v>
      </c>
      <c r="I26" s="345">
        <f t="shared" si="15"/>
        <v>0</v>
      </c>
      <c r="J26" s="345">
        <f t="shared" si="15"/>
        <v>2994.01</v>
      </c>
      <c r="K26" s="345">
        <f t="shared" si="15"/>
        <v>2851.44</v>
      </c>
      <c r="L26" s="345">
        <f t="shared" si="15"/>
        <v>142.57</v>
      </c>
      <c r="M26" s="345">
        <f t="shared" si="15"/>
        <v>0</v>
      </c>
      <c r="N26" s="16"/>
    </row>
    <row r="27" spans="1:15" ht="90">
      <c r="A27" s="8">
        <v>8</v>
      </c>
      <c r="B27" s="328" t="s">
        <v>108</v>
      </c>
      <c r="C27" s="8" t="s">
        <v>109</v>
      </c>
      <c r="D27" s="8" t="s">
        <v>110</v>
      </c>
      <c r="E27" s="8" t="s">
        <v>54</v>
      </c>
      <c r="F27" s="130">
        <f t="shared" si="9"/>
        <v>810.0100000000001</v>
      </c>
      <c r="G27" s="289">
        <v>771.44</v>
      </c>
      <c r="H27" s="130">
        <v>38.57</v>
      </c>
      <c r="I27" s="15">
        <v>0</v>
      </c>
      <c r="J27" s="133">
        <f t="shared" si="10"/>
        <v>810.0100000000001</v>
      </c>
      <c r="K27" s="355">
        <f>+G27</f>
        <v>771.44</v>
      </c>
      <c r="L27" s="355">
        <f t="shared" ref="L27:M27" si="16">+H27</f>
        <v>38.57</v>
      </c>
      <c r="M27" s="355">
        <f t="shared" si="16"/>
        <v>0</v>
      </c>
      <c r="N27" s="15"/>
      <c r="O27">
        <v>1</v>
      </c>
    </row>
    <row r="28" spans="1:15" ht="90">
      <c r="A28" s="8">
        <v>9</v>
      </c>
      <c r="B28" s="328" t="s">
        <v>111</v>
      </c>
      <c r="C28" s="8" t="s">
        <v>93</v>
      </c>
      <c r="D28" s="8" t="s">
        <v>110</v>
      </c>
      <c r="E28" s="8" t="s">
        <v>54</v>
      </c>
      <c r="F28" s="130">
        <f t="shared" si="9"/>
        <v>714</v>
      </c>
      <c r="G28" s="289">
        <v>680</v>
      </c>
      <c r="H28" s="130">
        <v>34</v>
      </c>
      <c r="I28" s="15">
        <v>0</v>
      </c>
      <c r="J28" s="133">
        <f t="shared" si="10"/>
        <v>714</v>
      </c>
      <c r="K28" s="355">
        <f t="shared" ref="K28:K30" si="17">+G28</f>
        <v>680</v>
      </c>
      <c r="L28" s="355">
        <f t="shared" ref="L28:L30" si="18">+H28</f>
        <v>34</v>
      </c>
      <c r="M28" s="355">
        <f t="shared" ref="M28:M30" si="19">+I28</f>
        <v>0</v>
      </c>
      <c r="N28" s="15"/>
      <c r="O28">
        <v>1</v>
      </c>
    </row>
    <row r="29" spans="1:15" ht="60">
      <c r="A29" s="8">
        <v>10</v>
      </c>
      <c r="B29" s="328" t="s">
        <v>793</v>
      </c>
      <c r="C29" s="8" t="s">
        <v>794</v>
      </c>
      <c r="D29" s="8" t="s">
        <v>795</v>
      </c>
      <c r="E29" s="8" t="s">
        <v>54</v>
      </c>
      <c r="F29" s="130">
        <f>G29+H29</f>
        <v>367.5</v>
      </c>
      <c r="G29" s="289">
        <v>350</v>
      </c>
      <c r="H29" s="130">
        <v>17.5</v>
      </c>
      <c r="I29" s="15"/>
      <c r="J29" s="133">
        <f t="shared" si="10"/>
        <v>367.5</v>
      </c>
      <c r="K29" s="355">
        <f t="shared" si="17"/>
        <v>350</v>
      </c>
      <c r="L29" s="355">
        <f t="shared" si="18"/>
        <v>17.5</v>
      </c>
      <c r="M29" s="355">
        <f t="shared" si="19"/>
        <v>0</v>
      </c>
      <c r="N29" s="15"/>
      <c r="O29">
        <v>1</v>
      </c>
    </row>
    <row r="30" spans="1:15" ht="90">
      <c r="A30" s="8">
        <v>11</v>
      </c>
      <c r="B30" s="328" t="s">
        <v>796</v>
      </c>
      <c r="C30" s="8" t="s">
        <v>106</v>
      </c>
      <c r="D30" s="8" t="s">
        <v>797</v>
      </c>
      <c r="E30" s="8" t="s">
        <v>54</v>
      </c>
      <c r="F30" s="130">
        <f>G30+H30</f>
        <v>1102.5</v>
      </c>
      <c r="G30" s="289">
        <v>1050</v>
      </c>
      <c r="H30" s="130">
        <v>52.5</v>
      </c>
      <c r="I30" s="15"/>
      <c r="J30" s="133">
        <f t="shared" si="10"/>
        <v>1102.5</v>
      </c>
      <c r="K30" s="355">
        <f t="shared" si="17"/>
        <v>1050</v>
      </c>
      <c r="L30" s="355">
        <f t="shared" si="18"/>
        <v>52.5</v>
      </c>
      <c r="M30" s="355">
        <f t="shared" si="19"/>
        <v>0</v>
      </c>
      <c r="N30" s="15"/>
      <c r="O30">
        <v>1</v>
      </c>
    </row>
    <row r="31" spans="1:15">
      <c r="A31" s="6" t="s">
        <v>117</v>
      </c>
      <c r="B31" s="326" t="s">
        <v>118</v>
      </c>
      <c r="C31" s="6"/>
      <c r="D31" s="23">
        <v>0</v>
      </c>
      <c r="E31" s="23"/>
      <c r="F31" s="345">
        <f t="shared" ref="F31:M31" si="20">SUM(F32:F32)</f>
        <v>2520</v>
      </c>
      <c r="G31" s="346">
        <f t="shared" si="20"/>
        <v>2400</v>
      </c>
      <c r="H31" s="345">
        <f t="shared" si="20"/>
        <v>120</v>
      </c>
      <c r="I31" s="345">
        <f t="shared" si="20"/>
        <v>0</v>
      </c>
      <c r="J31" s="345">
        <f t="shared" si="20"/>
        <v>2520</v>
      </c>
      <c r="K31" s="345">
        <f t="shared" si="20"/>
        <v>2400</v>
      </c>
      <c r="L31" s="345">
        <f t="shared" si="20"/>
        <v>120</v>
      </c>
      <c r="M31" s="345">
        <f t="shared" si="20"/>
        <v>0</v>
      </c>
      <c r="N31" s="16"/>
    </row>
    <row r="32" spans="1:15" ht="90">
      <c r="A32" s="8">
        <v>6</v>
      </c>
      <c r="B32" s="328" t="s">
        <v>131</v>
      </c>
      <c r="C32" s="8" t="s">
        <v>132</v>
      </c>
      <c r="D32" s="8" t="s">
        <v>130</v>
      </c>
      <c r="E32" s="8" t="s">
        <v>54</v>
      </c>
      <c r="F32" s="130">
        <f t="shared" si="9"/>
        <v>2520</v>
      </c>
      <c r="G32" s="361">
        <v>2400</v>
      </c>
      <c r="H32" s="130">
        <v>120</v>
      </c>
      <c r="I32" s="15">
        <v>0</v>
      </c>
      <c r="J32" s="133">
        <f t="shared" si="10"/>
        <v>2520</v>
      </c>
      <c r="K32" s="362">
        <f>+G32</f>
        <v>2400</v>
      </c>
      <c r="L32" s="362">
        <f t="shared" ref="L32:M32" si="21">+H32</f>
        <v>120</v>
      </c>
      <c r="M32" s="362">
        <f t="shared" si="21"/>
        <v>0</v>
      </c>
      <c r="N32" s="15"/>
      <c r="O32">
        <v>1</v>
      </c>
    </row>
    <row r="33" spans="1:15">
      <c r="A33" s="6" t="s">
        <v>137</v>
      </c>
      <c r="B33" s="326" t="s">
        <v>138</v>
      </c>
      <c r="C33" s="24"/>
      <c r="D33" s="23">
        <v>0</v>
      </c>
      <c r="E33" s="23"/>
      <c r="F33" s="345">
        <f t="shared" ref="F33:M33" si="22">SUM(F34:F35)</f>
        <v>3600.41</v>
      </c>
      <c r="G33" s="346">
        <f t="shared" si="22"/>
        <v>3429.0299999999997</v>
      </c>
      <c r="H33" s="345">
        <f t="shared" si="22"/>
        <v>171.38</v>
      </c>
      <c r="I33" s="345">
        <f t="shared" si="22"/>
        <v>0</v>
      </c>
      <c r="J33" s="345">
        <f t="shared" si="22"/>
        <v>3600.41</v>
      </c>
      <c r="K33" s="345">
        <f t="shared" si="22"/>
        <v>3429.0299999999997</v>
      </c>
      <c r="L33" s="345">
        <f t="shared" si="22"/>
        <v>171.38</v>
      </c>
      <c r="M33" s="345">
        <f t="shared" si="22"/>
        <v>0</v>
      </c>
      <c r="N33" s="17"/>
    </row>
    <row r="34" spans="1:15" ht="45">
      <c r="A34" s="8">
        <v>6</v>
      </c>
      <c r="B34" s="328" t="s">
        <v>906</v>
      </c>
      <c r="C34" s="8" t="s">
        <v>144</v>
      </c>
      <c r="D34" s="8" t="s">
        <v>907</v>
      </c>
      <c r="E34" s="8" t="s">
        <v>54</v>
      </c>
      <c r="F34" s="130">
        <f t="shared" si="9"/>
        <v>3000.9</v>
      </c>
      <c r="G34" s="289">
        <v>2858</v>
      </c>
      <c r="H34" s="130">
        <v>142.9</v>
      </c>
      <c r="I34" s="15">
        <v>0</v>
      </c>
      <c r="J34" s="133">
        <f t="shared" si="10"/>
        <v>3000.9</v>
      </c>
      <c r="K34" s="355">
        <f>+G34</f>
        <v>2858</v>
      </c>
      <c r="L34" s="355">
        <f t="shared" ref="L34:M34" si="23">+H34</f>
        <v>142.9</v>
      </c>
      <c r="M34" s="355">
        <f t="shared" si="23"/>
        <v>0</v>
      </c>
      <c r="N34" s="15"/>
      <c r="O34">
        <v>1</v>
      </c>
    </row>
    <row r="35" spans="1:15" ht="60">
      <c r="A35" s="8">
        <v>7</v>
      </c>
      <c r="B35" s="328" t="s">
        <v>908</v>
      </c>
      <c r="C35" s="8" t="s">
        <v>145</v>
      </c>
      <c r="D35" s="22" t="s">
        <v>142</v>
      </c>
      <c r="E35" s="8" t="s">
        <v>54</v>
      </c>
      <c r="F35" s="130">
        <f t="shared" si="9"/>
        <v>599.51</v>
      </c>
      <c r="G35" s="289">
        <v>571.03</v>
      </c>
      <c r="H35" s="163">
        <v>28.48</v>
      </c>
      <c r="I35" s="15">
        <v>0</v>
      </c>
      <c r="J35" s="133">
        <f t="shared" si="10"/>
        <v>599.51</v>
      </c>
      <c r="K35" s="355">
        <f>+G35</f>
        <v>571.03</v>
      </c>
      <c r="L35" s="355">
        <f t="shared" ref="L35" si="24">+H35</f>
        <v>28.48</v>
      </c>
      <c r="M35" s="355">
        <f t="shared" ref="M35" si="25">+I35</f>
        <v>0</v>
      </c>
      <c r="N35" s="15"/>
      <c r="O35">
        <v>1</v>
      </c>
    </row>
    <row r="36" spans="1:15">
      <c r="A36" s="6" t="s">
        <v>147</v>
      </c>
      <c r="B36" s="326" t="s">
        <v>148</v>
      </c>
      <c r="C36" s="24"/>
      <c r="D36" s="23">
        <v>0</v>
      </c>
      <c r="E36" s="23"/>
      <c r="F36" s="345">
        <f t="shared" ref="F36:M36" si="26">SUM(F37:F41)</f>
        <v>2558.75</v>
      </c>
      <c r="G36" s="346">
        <f t="shared" si="26"/>
        <v>2433</v>
      </c>
      <c r="H36" s="345">
        <f t="shared" si="26"/>
        <v>125.75</v>
      </c>
      <c r="I36" s="345">
        <f t="shared" si="26"/>
        <v>0</v>
      </c>
      <c r="J36" s="345">
        <f t="shared" si="26"/>
        <v>2558.75</v>
      </c>
      <c r="K36" s="345">
        <f t="shared" si="26"/>
        <v>2433</v>
      </c>
      <c r="L36" s="345">
        <f t="shared" si="26"/>
        <v>125.75</v>
      </c>
      <c r="M36" s="345">
        <f t="shared" si="26"/>
        <v>0</v>
      </c>
      <c r="N36" s="16"/>
    </row>
    <row r="37" spans="1:15" ht="90">
      <c r="A37" s="21">
        <v>7</v>
      </c>
      <c r="B37" s="329" t="s">
        <v>166</v>
      </c>
      <c r="C37" s="21" t="s">
        <v>167</v>
      </c>
      <c r="D37" s="22" t="s">
        <v>168</v>
      </c>
      <c r="E37" s="21" t="s">
        <v>54</v>
      </c>
      <c r="F37" s="130">
        <f t="shared" si="9"/>
        <v>998</v>
      </c>
      <c r="G37" s="289">
        <v>950</v>
      </c>
      <c r="H37" s="130">
        <v>48</v>
      </c>
      <c r="I37" s="15">
        <v>0</v>
      </c>
      <c r="J37" s="133">
        <f t="shared" si="10"/>
        <v>998</v>
      </c>
      <c r="K37" s="355">
        <f>+G37</f>
        <v>950</v>
      </c>
      <c r="L37" s="355">
        <f t="shared" ref="L37:M37" si="27">+H37</f>
        <v>48</v>
      </c>
      <c r="M37" s="355">
        <f t="shared" si="27"/>
        <v>0</v>
      </c>
      <c r="N37" s="15"/>
      <c r="O37">
        <v>1</v>
      </c>
    </row>
    <row r="38" spans="1:15" ht="45">
      <c r="A38" s="21">
        <v>8</v>
      </c>
      <c r="B38" s="329" t="s">
        <v>169</v>
      </c>
      <c r="C38" s="21" t="s">
        <v>170</v>
      </c>
      <c r="D38" s="21" t="s">
        <v>171</v>
      </c>
      <c r="E38" s="21" t="s">
        <v>54</v>
      </c>
      <c r="F38" s="130">
        <f t="shared" si="9"/>
        <v>706</v>
      </c>
      <c r="G38" s="289">
        <v>672</v>
      </c>
      <c r="H38" s="130">
        <v>34</v>
      </c>
      <c r="I38" s="15">
        <v>0</v>
      </c>
      <c r="J38" s="133">
        <f t="shared" si="10"/>
        <v>706</v>
      </c>
      <c r="K38" s="355">
        <f t="shared" ref="K38:K41" si="28">+G38</f>
        <v>672</v>
      </c>
      <c r="L38" s="355">
        <f t="shared" ref="L38:L41" si="29">+H38</f>
        <v>34</v>
      </c>
      <c r="M38" s="355">
        <f t="shared" ref="M38:M41" si="30">+I38</f>
        <v>0</v>
      </c>
      <c r="N38" s="15"/>
      <c r="O38">
        <v>1</v>
      </c>
    </row>
    <row r="39" spans="1:15" ht="45">
      <c r="A39" s="21">
        <v>9</v>
      </c>
      <c r="B39" s="329" t="s">
        <v>172</v>
      </c>
      <c r="C39" s="21" t="s">
        <v>173</v>
      </c>
      <c r="D39" s="21" t="s">
        <v>174</v>
      </c>
      <c r="E39" s="21" t="s">
        <v>54</v>
      </c>
      <c r="F39" s="130">
        <f t="shared" si="9"/>
        <v>303</v>
      </c>
      <c r="G39" s="289">
        <v>288</v>
      </c>
      <c r="H39" s="130">
        <v>15</v>
      </c>
      <c r="I39" s="15">
        <v>0</v>
      </c>
      <c r="J39" s="133">
        <f t="shared" si="10"/>
        <v>303</v>
      </c>
      <c r="K39" s="355">
        <f t="shared" si="28"/>
        <v>288</v>
      </c>
      <c r="L39" s="355">
        <f t="shared" si="29"/>
        <v>15</v>
      </c>
      <c r="M39" s="355">
        <f t="shared" si="30"/>
        <v>0</v>
      </c>
      <c r="N39" s="15"/>
      <c r="O39">
        <v>1</v>
      </c>
    </row>
    <row r="40" spans="1:15" ht="45">
      <c r="A40" s="21">
        <v>10</v>
      </c>
      <c r="B40" s="329" t="s">
        <v>175</v>
      </c>
      <c r="C40" s="21" t="s">
        <v>173</v>
      </c>
      <c r="D40" s="21" t="s">
        <v>176</v>
      </c>
      <c r="E40" s="21" t="s">
        <v>54</v>
      </c>
      <c r="F40" s="130">
        <f t="shared" si="9"/>
        <v>303</v>
      </c>
      <c r="G40" s="289">
        <v>288</v>
      </c>
      <c r="H40" s="130">
        <v>15</v>
      </c>
      <c r="I40" s="15">
        <v>0</v>
      </c>
      <c r="J40" s="133">
        <f t="shared" si="10"/>
        <v>303</v>
      </c>
      <c r="K40" s="355">
        <f t="shared" si="28"/>
        <v>288</v>
      </c>
      <c r="L40" s="355">
        <f t="shared" si="29"/>
        <v>15</v>
      </c>
      <c r="M40" s="355">
        <f t="shared" si="30"/>
        <v>0</v>
      </c>
      <c r="N40" s="15"/>
      <c r="O40">
        <v>1</v>
      </c>
    </row>
    <row r="41" spans="1:15" ht="90">
      <c r="A41" s="21">
        <v>11</v>
      </c>
      <c r="B41" s="329" t="s">
        <v>177</v>
      </c>
      <c r="C41" s="21" t="s">
        <v>164</v>
      </c>
      <c r="D41" s="8" t="s">
        <v>178</v>
      </c>
      <c r="E41" s="21" t="s">
        <v>54</v>
      </c>
      <c r="F41" s="130">
        <f t="shared" si="9"/>
        <v>248.75</v>
      </c>
      <c r="G41" s="289">
        <v>235</v>
      </c>
      <c r="H41" s="130">
        <v>13.75</v>
      </c>
      <c r="I41" s="15">
        <v>0</v>
      </c>
      <c r="J41" s="133">
        <f t="shared" si="10"/>
        <v>248.75</v>
      </c>
      <c r="K41" s="355">
        <f t="shared" si="28"/>
        <v>235</v>
      </c>
      <c r="L41" s="355">
        <f t="shared" si="29"/>
        <v>13.75</v>
      </c>
      <c r="M41" s="355">
        <f t="shared" si="30"/>
        <v>0</v>
      </c>
      <c r="N41" s="15"/>
      <c r="O41">
        <v>1</v>
      </c>
    </row>
    <row r="42" spans="1:15">
      <c r="A42" s="6" t="s">
        <v>185</v>
      </c>
      <c r="B42" s="326" t="s">
        <v>186</v>
      </c>
      <c r="C42" s="24"/>
      <c r="D42" s="23">
        <v>0</v>
      </c>
      <c r="E42" s="23"/>
      <c r="F42" s="345">
        <f t="shared" ref="F42:M42" si="31">SUM(F43:F47)</f>
        <v>2835</v>
      </c>
      <c r="G42" s="346">
        <f t="shared" si="31"/>
        <v>2700</v>
      </c>
      <c r="H42" s="345">
        <f t="shared" si="31"/>
        <v>135</v>
      </c>
      <c r="I42" s="345">
        <f t="shared" si="31"/>
        <v>0</v>
      </c>
      <c r="J42" s="345">
        <f t="shared" si="31"/>
        <v>2835</v>
      </c>
      <c r="K42" s="345">
        <f t="shared" si="31"/>
        <v>2700</v>
      </c>
      <c r="L42" s="345">
        <f t="shared" si="31"/>
        <v>135</v>
      </c>
      <c r="M42" s="345">
        <f t="shared" si="31"/>
        <v>0</v>
      </c>
      <c r="N42" s="16"/>
    </row>
    <row r="43" spans="1:15" ht="60">
      <c r="A43" s="8">
        <v>8</v>
      </c>
      <c r="B43" s="328" t="s">
        <v>203</v>
      </c>
      <c r="C43" s="8" t="s">
        <v>204</v>
      </c>
      <c r="D43" s="8" t="s">
        <v>205</v>
      </c>
      <c r="E43" s="21" t="s">
        <v>54</v>
      </c>
      <c r="F43" s="130">
        <f t="shared" ref="F43:F63" si="32">G43+H43</f>
        <v>630</v>
      </c>
      <c r="G43" s="289">
        <v>600</v>
      </c>
      <c r="H43" s="130">
        <f>G43*5%</f>
        <v>30</v>
      </c>
      <c r="I43" s="15">
        <v>0</v>
      </c>
      <c r="J43" s="133">
        <f t="shared" ref="J43:J63" si="33">K43+L43</f>
        <v>630</v>
      </c>
      <c r="K43" s="355">
        <f>+G43</f>
        <v>600</v>
      </c>
      <c r="L43" s="355">
        <f t="shared" ref="L43:M43" si="34">+H43</f>
        <v>30</v>
      </c>
      <c r="M43" s="355">
        <f t="shared" si="34"/>
        <v>0</v>
      </c>
      <c r="N43" s="8" t="s">
        <v>197</v>
      </c>
      <c r="O43">
        <v>1</v>
      </c>
    </row>
    <row r="44" spans="1:15" ht="90">
      <c r="A44" s="8">
        <v>9</v>
      </c>
      <c r="B44" s="360" t="s">
        <v>206</v>
      </c>
      <c r="C44" s="8" t="s">
        <v>196</v>
      </c>
      <c r="D44" s="8" t="s">
        <v>178</v>
      </c>
      <c r="E44" s="21" t="s">
        <v>54</v>
      </c>
      <c r="F44" s="130">
        <f t="shared" si="32"/>
        <v>210</v>
      </c>
      <c r="G44" s="289">
        <v>200</v>
      </c>
      <c r="H44" s="130">
        <v>10</v>
      </c>
      <c r="I44" s="15"/>
      <c r="J44" s="133">
        <f t="shared" si="33"/>
        <v>210</v>
      </c>
      <c r="K44" s="355">
        <f t="shared" ref="K44:K47" si="35">+G44</f>
        <v>200</v>
      </c>
      <c r="L44" s="355">
        <f t="shared" ref="L44:L47" si="36">+H44</f>
        <v>10</v>
      </c>
      <c r="M44" s="355">
        <f t="shared" ref="M44:M47" si="37">+I44</f>
        <v>0</v>
      </c>
      <c r="N44" s="8" t="s">
        <v>201</v>
      </c>
      <c r="O44">
        <v>1</v>
      </c>
    </row>
    <row r="45" spans="1:15" ht="90">
      <c r="A45" s="8">
        <v>10</v>
      </c>
      <c r="B45" s="360" t="s">
        <v>207</v>
      </c>
      <c r="C45" s="8" t="s">
        <v>194</v>
      </c>
      <c r="D45" s="8" t="s">
        <v>208</v>
      </c>
      <c r="E45" s="21" t="s">
        <v>54</v>
      </c>
      <c r="F45" s="130">
        <f t="shared" si="32"/>
        <v>420</v>
      </c>
      <c r="G45" s="289">
        <v>400</v>
      </c>
      <c r="H45" s="130">
        <f>G45*5%</f>
        <v>20</v>
      </c>
      <c r="I45" s="15"/>
      <c r="J45" s="133">
        <f t="shared" si="33"/>
        <v>420</v>
      </c>
      <c r="K45" s="355">
        <f t="shared" si="35"/>
        <v>400</v>
      </c>
      <c r="L45" s="355">
        <f t="shared" si="36"/>
        <v>20</v>
      </c>
      <c r="M45" s="355">
        <f t="shared" si="37"/>
        <v>0</v>
      </c>
      <c r="N45" s="8" t="s">
        <v>201</v>
      </c>
      <c r="O45">
        <v>1</v>
      </c>
    </row>
    <row r="46" spans="1:15" ht="60">
      <c r="A46" s="8">
        <v>11</v>
      </c>
      <c r="B46" s="328" t="s">
        <v>212</v>
      </c>
      <c r="C46" s="8" t="s">
        <v>213</v>
      </c>
      <c r="D46" s="8" t="s">
        <v>214</v>
      </c>
      <c r="E46" s="21" t="s">
        <v>54</v>
      </c>
      <c r="F46" s="130">
        <f t="shared" si="32"/>
        <v>1260</v>
      </c>
      <c r="G46" s="289">
        <v>1200</v>
      </c>
      <c r="H46" s="130">
        <v>60</v>
      </c>
      <c r="I46" s="15"/>
      <c r="J46" s="133">
        <f t="shared" si="33"/>
        <v>1260</v>
      </c>
      <c r="K46" s="355">
        <f t="shared" si="35"/>
        <v>1200</v>
      </c>
      <c r="L46" s="355">
        <f t="shared" si="36"/>
        <v>60</v>
      </c>
      <c r="M46" s="355">
        <f t="shared" si="37"/>
        <v>0</v>
      </c>
      <c r="N46" s="8" t="s">
        <v>201</v>
      </c>
      <c r="O46">
        <v>1</v>
      </c>
    </row>
    <row r="47" spans="1:15" ht="60">
      <c r="A47" s="8">
        <v>12</v>
      </c>
      <c r="B47" s="328" t="s">
        <v>215</v>
      </c>
      <c r="C47" s="8" t="s">
        <v>210</v>
      </c>
      <c r="D47" s="8" t="s">
        <v>216</v>
      </c>
      <c r="E47" s="21" t="s">
        <v>54</v>
      </c>
      <c r="F47" s="130">
        <f t="shared" si="32"/>
        <v>315</v>
      </c>
      <c r="G47" s="289">
        <v>300</v>
      </c>
      <c r="H47" s="130">
        <v>15</v>
      </c>
      <c r="I47" s="15"/>
      <c r="J47" s="133">
        <f t="shared" si="33"/>
        <v>315</v>
      </c>
      <c r="K47" s="355">
        <f t="shared" si="35"/>
        <v>300</v>
      </c>
      <c r="L47" s="355">
        <f t="shared" si="36"/>
        <v>15</v>
      </c>
      <c r="M47" s="355">
        <f t="shared" si="37"/>
        <v>0</v>
      </c>
      <c r="N47" s="8" t="s">
        <v>201</v>
      </c>
      <c r="O47">
        <v>1</v>
      </c>
    </row>
    <row r="48" spans="1:15">
      <c r="A48" s="6" t="s">
        <v>222</v>
      </c>
      <c r="B48" s="332" t="s">
        <v>223</v>
      </c>
      <c r="C48" s="24"/>
      <c r="D48" s="23">
        <v>0</v>
      </c>
      <c r="E48" s="23"/>
      <c r="F48" s="345">
        <f t="shared" ref="F48:M48" si="38">SUM(F49:F50)</f>
        <v>872.8</v>
      </c>
      <c r="G48" s="346">
        <f t="shared" si="38"/>
        <v>832.8</v>
      </c>
      <c r="H48" s="345">
        <f t="shared" si="38"/>
        <v>40</v>
      </c>
      <c r="I48" s="345">
        <f t="shared" si="38"/>
        <v>0</v>
      </c>
      <c r="J48" s="345">
        <f t="shared" si="38"/>
        <v>872.8</v>
      </c>
      <c r="K48" s="345">
        <f t="shared" si="38"/>
        <v>832.8</v>
      </c>
      <c r="L48" s="345">
        <f t="shared" si="38"/>
        <v>40</v>
      </c>
      <c r="M48" s="345">
        <f t="shared" si="38"/>
        <v>0</v>
      </c>
      <c r="N48" s="16"/>
    </row>
    <row r="49" spans="1:15" ht="45">
      <c r="A49" s="8">
        <v>9</v>
      </c>
      <c r="B49" s="328" t="s">
        <v>240</v>
      </c>
      <c r="C49" s="8" t="s">
        <v>231</v>
      </c>
      <c r="D49" s="8" t="s">
        <v>241</v>
      </c>
      <c r="E49" s="8" t="s">
        <v>54</v>
      </c>
      <c r="F49" s="130">
        <f t="shared" si="32"/>
        <v>315</v>
      </c>
      <c r="G49" s="289">
        <v>300</v>
      </c>
      <c r="H49" s="130">
        <v>15</v>
      </c>
      <c r="I49" s="15"/>
      <c r="J49" s="133">
        <f t="shared" si="33"/>
        <v>315</v>
      </c>
      <c r="K49" s="355">
        <f>+G49</f>
        <v>300</v>
      </c>
      <c r="L49" s="355">
        <f t="shared" ref="L49:M49" si="39">+H49</f>
        <v>15</v>
      </c>
      <c r="M49" s="355">
        <f t="shared" si="39"/>
        <v>0</v>
      </c>
      <c r="N49" s="15"/>
      <c r="O49">
        <v>1</v>
      </c>
    </row>
    <row r="50" spans="1:15" ht="90">
      <c r="A50" s="8">
        <v>10</v>
      </c>
      <c r="B50" s="328" t="s">
        <v>242</v>
      </c>
      <c r="C50" s="8" t="s">
        <v>225</v>
      </c>
      <c r="D50" s="8" t="s">
        <v>104</v>
      </c>
      <c r="E50" s="8" t="s">
        <v>54</v>
      </c>
      <c r="F50" s="130">
        <f t="shared" si="32"/>
        <v>557.79999999999995</v>
      </c>
      <c r="G50" s="289">
        <v>532.79999999999995</v>
      </c>
      <c r="H50" s="130">
        <v>25</v>
      </c>
      <c r="I50" s="15"/>
      <c r="J50" s="133">
        <f t="shared" si="33"/>
        <v>557.79999999999995</v>
      </c>
      <c r="K50" s="355">
        <f>+G50</f>
        <v>532.79999999999995</v>
      </c>
      <c r="L50" s="355">
        <f t="shared" ref="L50" si="40">+H50</f>
        <v>25</v>
      </c>
      <c r="M50" s="355">
        <f t="shared" ref="M50" si="41">+I50</f>
        <v>0</v>
      </c>
      <c r="N50" s="15"/>
      <c r="O50">
        <v>1</v>
      </c>
    </row>
    <row r="51" spans="1:15">
      <c r="A51" s="6" t="s">
        <v>245</v>
      </c>
      <c r="B51" s="326" t="s">
        <v>246</v>
      </c>
      <c r="C51" s="24"/>
      <c r="D51" s="23">
        <v>0</v>
      </c>
      <c r="E51" s="23"/>
      <c r="F51" s="345">
        <f t="shared" ref="F51:M51" si="42">SUM(F52:F55)</f>
        <v>3045</v>
      </c>
      <c r="G51" s="346">
        <f t="shared" si="42"/>
        <v>2900</v>
      </c>
      <c r="H51" s="345">
        <f t="shared" si="42"/>
        <v>145</v>
      </c>
      <c r="I51" s="345">
        <f t="shared" si="42"/>
        <v>0</v>
      </c>
      <c r="J51" s="345">
        <f t="shared" si="42"/>
        <v>3045</v>
      </c>
      <c r="K51" s="345">
        <f t="shared" si="42"/>
        <v>2900</v>
      </c>
      <c r="L51" s="345">
        <f t="shared" si="42"/>
        <v>145</v>
      </c>
      <c r="M51" s="345">
        <f t="shared" si="42"/>
        <v>0</v>
      </c>
      <c r="N51" s="16"/>
    </row>
    <row r="52" spans="1:15" ht="75">
      <c r="A52" s="8">
        <v>10</v>
      </c>
      <c r="B52" s="328" t="s">
        <v>260</v>
      </c>
      <c r="C52" s="8" t="s">
        <v>255</v>
      </c>
      <c r="D52" s="22" t="s">
        <v>261</v>
      </c>
      <c r="E52" s="8" t="s">
        <v>54</v>
      </c>
      <c r="F52" s="130">
        <f t="shared" si="32"/>
        <v>525</v>
      </c>
      <c r="G52" s="289">
        <v>500</v>
      </c>
      <c r="H52" s="130">
        <v>25</v>
      </c>
      <c r="I52" s="15"/>
      <c r="J52" s="133">
        <f t="shared" si="33"/>
        <v>525</v>
      </c>
      <c r="K52" s="355">
        <f>+G52</f>
        <v>500</v>
      </c>
      <c r="L52" s="355">
        <f t="shared" ref="L52:M52" si="43">+H52</f>
        <v>25</v>
      </c>
      <c r="M52" s="355">
        <f t="shared" si="43"/>
        <v>0</v>
      </c>
      <c r="N52" s="8" t="s">
        <v>197</v>
      </c>
      <c r="O52">
        <v>1</v>
      </c>
    </row>
    <row r="53" spans="1:15" ht="75">
      <c r="A53" s="8">
        <v>11</v>
      </c>
      <c r="B53" s="328" t="s">
        <v>262</v>
      </c>
      <c r="C53" s="8" t="s">
        <v>255</v>
      </c>
      <c r="D53" s="22" t="s">
        <v>263</v>
      </c>
      <c r="E53" s="8" t="s">
        <v>54</v>
      </c>
      <c r="F53" s="130">
        <f t="shared" si="32"/>
        <v>630</v>
      </c>
      <c r="G53" s="289">
        <v>600</v>
      </c>
      <c r="H53" s="130">
        <v>30</v>
      </c>
      <c r="I53" s="15"/>
      <c r="J53" s="133">
        <f t="shared" si="33"/>
        <v>630</v>
      </c>
      <c r="K53" s="355">
        <f t="shared" ref="K53:K55" si="44">+G53</f>
        <v>600</v>
      </c>
      <c r="L53" s="355">
        <f t="shared" ref="L53:L55" si="45">+H53</f>
        <v>30</v>
      </c>
      <c r="M53" s="355">
        <f t="shared" ref="M53:M55" si="46">+I53</f>
        <v>0</v>
      </c>
      <c r="N53" s="8" t="s">
        <v>197</v>
      </c>
      <c r="O53">
        <v>1</v>
      </c>
    </row>
    <row r="54" spans="1:15" ht="45">
      <c r="A54" s="8">
        <v>12</v>
      </c>
      <c r="B54" s="328" t="s">
        <v>264</v>
      </c>
      <c r="C54" s="8" t="s">
        <v>248</v>
      </c>
      <c r="D54" s="8" t="s">
        <v>265</v>
      </c>
      <c r="E54" s="8" t="s">
        <v>54</v>
      </c>
      <c r="F54" s="130">
        <f t="shared" si="32"/>
        <v>945</v>
      </c>
      <c r="G54" s="289">
        <v>900</v>
      </c>
      <c r="H54" s="130">
        <v>45</v>
      </c>
      <c r="I54" s="15"/>
      <c r="J54" s="133">
        <f t="shared" si="33"/>
        <v>945</v>
      </c>
      <c r="K54" s="355">
        <f t="shared" si="44"/>
        <v>900</v>
      </c>
      <c r="L54" s="355">
        <f t="shared" si="45"/>
        <v>45</v>
      </c>
      <c r="M54" s="355">
        <f t="shared" si="46"/>
        <v>0</v>
      </c>
      <c r="N54" s="15"/>
      <c r="O54">
        <v>1</v>
      </c>
    </row>
    <row r="55" spans="1:15" ht="75">
      <c r="A55" s="8">
        <v>13</v>
      </c>
      <c r="B55" s="328" t="s">
        <v>912</v>
      </c>
      <c r="C55" s="8" t="s">
        <v>258</v>
      </c>
      <c r="D55" s="22" t="s">
        <v>266</v>
      </c>
      <c r="E55" s="8" t="s">
        <v>54</v>
      </c>
      <c r="F55" s="130">
        <f t="shared" si="32"/>
        <v>945</v>
      </c>
      <c r="G55" s="289">
        <v>900</v>
      </c>
      <c r="H55" s="130">
        <v>45</v>
      </c>
      <c r="I55" s="15"/>
      <c r="J55" s="133">
        <f t="shared" si="33"/>
        <v>945</v>
      </c>
      <c r="K55" s="355">
        <f t="shared" si="44"/>
        <v>900</v>
      </c>
      <c r="L55" s="355">
        <f t="shared" si="45"/>
        <v>45</v>
      </c>
      <c r="M55" s="355">
        <f t="shared" si="46"/>
        <v>0</v>
      </c>
      <c r="N55" s="8" t="s">
        <v>197</v>
      </c>
      <c r="O55">
        <v>1</v>
      </c>
    </row>
    <row r="56" spans="1:15">
      <c r="A56" s="25" t="s">
        <v>274</v>
      </c>
      <c r="B56" s="335" t="s">
        <v>275</v>
      </c>
      <c r="C56" s="26"/>
      <c r="D56" s="23">
        <v>0</v>
      </c>
      <c r="E56" s="23"/>
      <c r="F56" s="345">
        <f t="shared" ref="F56:M56" si="47">SUM(F57:F59)</f>
        <v>2205</v>
      </c>
      <c r="G56" s="346">
        <f t="shared" si="47"/>
        <v>2100</v>
      </c>
      <c r="H56" s="345">
        <f t="shared" si="47"/>
        <v>105</v>
      </c>
      <c r="I56" s="345">
        <f t="shared" si="47"/>
        <v>0</v>
      </c>
      <c r="J56" s="345">
        <f t="shared" si="47"/>
        <v>2205</v>
      </c>
      <c r="K56" s="345">
        <f t="shared" si="47"/>
        <v>2100</v>
      </c>
      <c r="L56" s="345">
        <f t="shared" si="47"/>
        <v>105</v>
      </c>
      <c r="M56" s="345">
        <f t="shared" si="47"/>
        <v>0</v>
      </c>
      <c r="N56" s="16"/>
    </row>
    <row r="57" spans="1:15" ht="90">
      <c r="A57" s="27">
        <v>9</v>
      </c>
      <c r="B57" s="336" t="s">
        <v>294</v>
      </c>
      <c r="C57" s="27" t="s">
        <v>277</v>
      </c>
      <c r="D57" s="8" t="s">
        <v>281</v>
      </c>
      <c r="E57" s="27" t="s">
        <v>54</v>
      </c>
      <c r="F57" s="130">
        <f t="shared" si="32"/>
        <v>420</v>
      </c>
      <c r="G57" s="289">
        <v>400</v>
      </c>
      <c r="H57" s="130">
        <v>20</v>
      </c>
      <c r="I57" s="15">
        <v>0</v>
      </c>
      <c r="J57" s="133">
        <f t="shared" si="33"/>
        <v>420</v>
      </c>
      <c r="K57" s="355">
        <f>+G57</f>
        <v>400</v>
      </c>
      <c r="L57" s="355">
        <f t="shared" ref="L57:M57" si="48">+H57</f>
        <v>20</v>
      </c>
      <c r="M57" s="355">
        <f t="shared" si="48"/>
        <v>0</v>
      </c>
      <c r="N57" s="15"/>
      <c r="O57">
        <v>1</v>
      </c>
    </row>
    <row r="58" spans="1:15" ht="90">
      <c r="A58" s="27">
        <v>10</v>
      </c>
      <c r="B58" s="336" t="s">
        <v>295</v>
      </c>
      <c r="C58" s="27" t="s">
        <v>275</v>
      </c>
      <c r="D58" s="8" t="s">
        <v>104</v>
      </c>
      <c r="E58" s="27" t="s">
        <v>54</v>
      </c>
      <c r="F58" s="130">
        <f t="shared" si="32"/>
        <v>735</v>
      </c>
      <c r="G58" s="289">
        <v>700</v>
      </c>
      <c r="H58" s="130">
        <v>35</v>
      </c>
      <c r="I58" s="15">
        <v>0</v>
      </c>
      <c r="J58" s="133">
        <f t="shared" si="33"/>
        <v>735</v>
      </c>
      <c r="K58" s="355">
        <f t="shared" ref="K58:K59" si="49">+G58</f>
        <v>700</v>
      </c>
      <c r="L58" s="355">
        <f t="shared" ref="L58:L59" si="50">+H58</f>
        <v>35</v>
      </c>
      <c r="M58" s="355">
        <f t="shared" ref="M58:M59" si="51">+I58</f>
        <v>0</v>
      </c>
      <c r="N58" s="15"/>
      <c r="O58">
        <v>1</v>
      </c>
    </row>
    <row r="59" spans="1:15" ht="90">
      <c r="A59" s="27">
        <v>11</v>
      </c>
      <c r="B59" s="336" t="s">
        <v>296</v>
      </c>
      <c r="C59" s="27" t="s">
        <v>288</v>
      </c>
      <c r="D59" s="8" t="s">
        <v>128</v>
      </c>
      <c r="E59" s="27" t="s">
        <v>54</v>
      </c>
      <c r="F59" s="130">
        <f t="shared" si="32"/>
        <v>1050</v>
      </c>
      <c r="G59" s="289">
        <v>1000</v>
      </c>
      <c r="H59" s="130">
        <v>50</v>
      </c>
      <c r="I59" s="15">
        <v>0</v>
      </c>
      <c r="J59" s="133">
        <f t="shared" si="33"/>
        <v>1050</v>
      </c>
      <c r="K59" s="355">
        <f t="shared" si="49"/>
        <v>1000</v>
      </c>
      <c r="L59" s="355">
        <f t="shared" si="50"/>
        <v>50</v>
      </c>
      <c r="M59" s="355">
        <f t="shared" si="51"/>
        <v>0</v>
      </c>
      <c r="N59" s="15"/>
      <c r="O59">
        <v>1</v>
      </c>
    </row>
    <row r="60" spans="1:15">
      <c r="A60" s="6" t="s">
        <v>302</v>
      </c>
      <c r="B60" s="326" t="s">
        <v>303</v>
      </c>
      <c r="C60" s="24"/>
      <c r="D60" s="23">
        <v>0</v>
      </c>
      <c r="E60" s="23"/>
      <c r="F60" s="345">
        <f t="shared" ref="F60:M60" si="52">SUM(F61:F63)</f>
        <v>3031.35</v>
      </c>
      <c r="G60" s="346">
        <f t="shared" si="52"/>
        <v>2887</v>
      </c>
      <c r="H60" s="345">
        <f t="shared" si="52"/>
        <v>144.35</v>
      </c>
      <c r="I60" s="345">
        <f t="shared" si="52"/>
        <v>0</v>
      </c>
      <c r="J60" s="345">
        <f t="shared" si="52"/>
        <v>3031.35</v>
      </c>
      <c r="K60" s="345">
        <f t="shared" si="52"/>
        <v>2887</v>
      </c>
      <c r="L60" s="345">
        <f t="shared" si="52"/>
        <v>144.35</v>
      </c>
      <c r="M60" s="345">
        <f t="shared" si="52"/>
        <v>0</v>
      </c>
      <c r="N60" s="16"/>
    </row>
    <row r="61" spans="1:15" ht="45">
      <c r="A61" s="8">
        <v>5</v>
      </c>
      <c r="B61" s="328" t="s">
        <v>314</v>
      </c>
      <c r="C61" s="8" t="s">
        <v>303</v>
      </c>
      <c r="D61" s="8" t="s">
        <v>315</v>
      </c>
      <c r="E61" s="27" t="s">
        <v>54</v>
      </c>
      <c r="F61" s="130">
        <f t="shared" si="32"/>
        <v>2191.35</v>
      </c>
      <c r="G61" s="289">
        <v>2087</v>
      </c>
      <c r="H61" s="130">
        <v>104.35</v>
      </c>
      <c r="I61" s="15"/>
      <c r="J61" s="133">
        <f t="shared" si="33"/>
        <v>2191.35</v>
      </c>
      <c r="K61" s="355">
        <f>+G61</f>
        <v>2087</v>
      </c>
      <c r="L61" s="355">
        <f t="shared" ref="L61:M61" si="53">+H61</f>
        <v>104.35</v>
      </c>
      <c r="M61" s="355">
        <f t="shared" si="53"/>
        <v>0</v>
      </c>
      <c r="N61" s="15"/>
      <c r="O61">
        <v>1</v>
      </c>
    </row>
    <row r="62" spans="1:15" ht="60">
      <c r="A62" s="8">
        <v>6</v>
      </c>
      <c r="B62" s="328" t="s">
        <v>316</v>
      </c>
      <c r="C62" s="8" t="s">
        <v>317</v>
      </c>
      <c r="D62" s="8" t="s">
        <v>318</v>
      </c>
      <c r="E62" s="27" t="s">
        <v>54</v>
      </c>
      <c r="F62" s="130">
        <f t="shared" si="32"/>
        <v>420</v>
      </c>
      <c r="G62" s="289">
        <v>400</v>
      </c>
      <c r="H62" s="130">
        <v>20</v>
      </c>
      <c r="I62" s="15">
        <v>0</v>
      </c>
      <c r="J62" s="133">
        <f t="shared" si="33"/>
        <v>420</v>
      </c>
      <c r="K62" s="355">
        <f t="shared" ref="K62:K63" si="54">+G62</f>
        <v>400</v>
      </c>
      <c r="L62" s="355">
        <f t="shared" ref="L62:L63" si="55">+H62</f>
        <v>20</v>
      </c>
      <c r="M62" s="355">
        <f t="shared" ref="M62:M63" si="56">+I62</f>
        <v>0</v>
      </c>
      <c r="N62" s="15"/>
      <c r="O62">
        <v>1</v>
      </c>
    </row>
    <row r="63" spans="1:15" ht="135">
      <c r="A63" s="8">
        <v>7</v>
      </c>
      <c r="B63" s="328" t="s">
        <v>319</v>
      </c>
      <c r="C63" s="8" t="s">
        <v>320</v>
      </c>
      <c r="D63" s="8" t="s">
        <v>321</v>
      </c>
      <c r="E63" s="27" t="s">
        <v>54</v>
      </c>
      <c r="F63" s="130">
        <f t="shared" si="32"/>
        <v>420</v>
      </c>
      <c r="G63" s="289">
        <v>400</v>
      </c>
      <c r="H63" s="130">
        <v>20</v>
      </c>
      <c r="I63" s="15">
        <v>0</v>
      </c>
      <c r="J63" s="133">
        <f t="shared" si="33"/>
        <v>420</v>
      </c>
      <c r="K63" s="355">
        <f t="shared" si="54"/>
        <v>400</v>
      </c>
      <c r="L63" s="355">
        <f t="shared" si="55"/>
        <v>20</v>
      </c>
      <c r="M63" s="355">
        <f t="shared" si="56"/>
        <v>0</v>
      </c>
      <c r="N63" s="15"/>
      <c r="O63">
        <v>1</v>
      </c>
    </row>
    <row r="64" spans="1:15">
      <c r="A64" s="6" t="s">
        <v>327</v>
      </c>
      <c r="B64" s="326" t="s">
        <v>328</v>
      </c>
      <c r="C64" s="24"/>
      <c r="D64" s="23">
        <v>0</v>
      </c>
      <c r="E64" s="23"/>
      <c r="F64" s="345">
        <f t="shared" ref="F64:M64" si="57">SUM(F65:F68)</f>
        <v>2781.45</v>
      </c>
      <c r="G64" s="346">
        <f t="shared" si="57"/>
        <v>2649</v>
      </c>
      <c r="H64" s="345">
        <f t="shared" si="57"/>
        <v>132.44999999999999</v>
      </c>
      <c r="I64" s="345">
        <f t="shared" si="57"/>
        <v>0</v>
      </c>
      <c r="J64" s="345">
        <f t="shared" si="57"/>
        <v>2781.45</v>
      </c>
      <c r="K64" s="345">
        <f t="shared" si="57"/>
        <v>2649</v>
      </c>
      <c r="L64" s="345">
        <f t="shared" si="57"/>
        <v>132.44999999999999</v>
      </c>
      <c r="M64" s="345">
        <f t="shared" si="57"/>
        <v>0</v>
      </c>
      <c r="N64" s="16"/>
    </row>
    <row r="65" spans="1:15" ht="90">
      <c r="A65" s="8">
        <v>7</v>
      </c>
      <c r="B65" s="328" t="s">
        <v>342</v>
      </c>
      <c r="C65" s="8" t="s">
        <v>343</v>
      </c>
      <c r="D65" s="8" t="s">
        <v>159</v>
      </c>
      <c r="E65" s="8" t="s">
        <v>54</v>
      </c>
      <c r="F65" s="130">
        <f t="shared" ref="F65:F83" si="58">G65+H65</f>
        <v>1050</v>
      </c>
      <c r="G65" s="289">
        <v>1000</v>
      </c>
      <c r="H65" s="130">
        <v>50</v>
      </c>
      <c r="I65" s="15">
        <v>0</v>
      </c>
      <c r="J65" s="133">
        <f t="shared" ref="J65:J83" si="59">K65+L65</f>
        <v>1050</v>
      </c>
      <c r="K65" s="355">
        <f>+G65</f>
        <v>1000</v>
      </c>
      <c r="L65" s="355">
        <f t="shared" ref="L65:M65" si="60">+H65</f>
        <v>50</v>
      </c>
      <c r="M65" s="355">
        <f t="shared" si="60"/>
        <v>0</v>
      </c>
      <c r="N65" s="15"/>
      <c r="O65">
        <v>1</v>
      </c>
    </row>
    <row r="66" spans="1:15" ht="90">
      <c r="A66" s="8">
        <v>8</v>
      </c>
      <c r="B66" s="328" t="s">
        <v>344</v>
      </c>
      <c r="C66" s="8" t="s">
        <v>345</v>
      </c>
      <c r="D66" s="8" t="s">
        <v>94</v>
      </c>
      <c r="E66" s="8" t="s">
        <v>54</v>
      </c>
      <c r="F66" s="130">
        <f t="shared" si="58"/>
        <v>361.2</v>
      </c>
      <c r="G66" s="289">
        <v>344</v>
      </c>
      <c r="H66" s="130">
        <v>17.2</v>
      </c>
      <c r="I66" s="15">
        <v>0</v>
      </c>
      <c r="J66" s="133">
        <f t="shared" si="59"/>
        <v>361.2</v>
      </c>
      <c r="K66" s="355">
        <f t="shared" ref="K66:K68" si="61">+G66</f>
        <v>344</v>
      </c>
      <c r="L66" s="355">
        <f t="shared" ref="L66:L68" si="62">+H66</f>
        <v>17.2</v>
      </c>
      <c r="M66" s="355">
        <f t="shared" ref="M66:M68" si="63">+I66</f>
        <v>0</v>
      </c>
      <c r="N66" s="15"/>
      <c r="O66">
        <v>1</v>
      </c>
    </row>
    <row r="67" spans="1:15" ht="90">
      <c r="A67" s="8">
        <v>9</v>
      </c>
      <c r="B67" s="328" t="s">
        <v>346</v>
      </c>
      <c r="C67" s="8" t="s">
        <v>347</v>
      </c>
      <c r="D67" s="8" t="s">
        <v>348</v>
      </c>
      <c r="E67" s="8" t="s">
        <v>54</v>
      </c>
      <c r="F67" s="130">
        <f t="shared" si="58"/>
        <v>1050</v>
      </c>
      <c r="G67" s="289">
        <v>1000</v>
      </c>
      <c r="H67" s="130">
        <v>50</v>
      </c>
      <c r="I67" s="15">
        <v>0</v>
      </c>
      <c r="J67" s="133">
        <f t="shared" si="59"/>
        <v>1050</v>
      </c>
      <c r="K67" s="355">
        <f t="shared" si="61"/>
        <v>1000</v>
      </c>
      <c r="L67" s="355">
        <f t="shared" si="62"/>
        <v>50</v>
      </c>
      <c r="M67" s="355">
        <f t="shared" si="63"/>
        <v>0</v>
      </c>
      <c r="N67" s="15"/>
      <c r="O67">
        <v>1</v>
      </c>
    </row>
    <row r="68" spans="1:15" ht="90">
      <c r="A68" s="8">
        <v>10</v>
      </c>
      <c r="B68" s="328" t="s">
        <v>349</v>
      </c>
      <c r="C68" s="8" t="s">
        <v>350</v>
      </c>
      <c r="D68" s="8" t="s">
        <v>348</v>
      </c>
      <c r="E68" s="8" t="s">
        <v>54</v>
      </c>
      <c r="F68" s="130">
        <f t="shared" si="58"/>
        <v>320.25</v>
      </c>
      <c r="G68" s="289">
        <v>305</v>
      </c>
      <c r="H68" s="130">
        <v>15.25</v>
      </c>
      <c r="I68" s="15">
        <v>0</v>
      </c>
      <c r="J68" s="133">
        <f t="shared" si="59"/>
        <v>320.25</v>
      </c>
      <c r="K68" s="355">
        <f t="shared" si="61"/>
        <v>305</v>
      </c>
      <c r="L68" s="355">
        <f t="shared" si="62"/>
        <v>15.25</v>
      </c>
      <c r="M68" s="355">
        <f t="shared" si="63"/>
        <v>0</v>
      </c>
      <c r="N68" s="15"/>
      <c r="O68">
        <v>1</v>
      </c>
    </row>
    <row r="69" spans="1:15">
      <c r="A69" s="6" t="s">
        <v>358</v>
      </c>
      <c r="B69" s="326" t="s">
        <v>359</v>
      </c>
      <c r="C69" s="24"/>
      <c r="D69" s="23">
        <v>0</v>
      </c>
      <c r="E69" s="23"/>
      <c r="F69" s="345">
        <f t="shared" ref="F69:M69" si="64">SUM(F70:F73)</f>
        <v>2157.5</v>
      </c>
      <c r="G69" s="346">
        <f t="shared" si="64"/>
        <v>2054</v>
      </c>
      <c r="H69" s="345">
        <f t="shared" si="64"/>
        <v>103.5</v>
      </c>
      <c r="I69" s="345">
        <f t="shared" si="64"/>
        <v>0</v>
      </c>
      <c r="J69" s="345">
        <f t="shared" si="64"/>
        <v>2157.5</v>
      </c>
      <c r="K69" s="345">
        <f t="shared" si="64"/>
        <v>2054</v>
      </c>
      <c r="L69" s="345">
        <f t="shared" si="64"/>
        <v>103.5</v>
      </c>
      <c r="M69" s="345">
        <f t="shared" si="64"/>
        <v>0</v>
      </c>
      <c r="N69" s="16"/>
    </row>
    <row r="70" spans="1:15" ht="45">
      <c r="A70" s="8">
        <v>8</v>
      </c>
      <c r="B70" s="328" t="s">
        <v>375</v>
      </c>
      <c r="C70" s="8" t="s">
        <v>376</v>
      </c>
      <c r="D70" s="8" t="s">
        <v>377</v>
      </c>
      <c r="E70" s="8" t="s">
        <v>54</v>
      </c>
      <c r="F70" s="130">
        <f t="shared" si="58"/>
        <v>1064</v>
      </c>
      <c r="G70" s="289">
        <v>1014</v>
      </c>
      <c r="H70" s="130">
        <v>50</v>
      </c>
      <c r="I70" s="15"/>
      <c r="J70" s="133">
        <f t="shared" si="59"/>
        <v>1064</v>
      </c>
      <c r="K70" s="355">
        <f>+G70</f>
        <v>1014</v>
      </c>
      <c r="L70" s="355">
        <f t="shared" ref="L70:M70" si="65">+H70</f>
        <v>50</v>
      </c>
      <c r="M70" s="355">
        <f t="shared" si="65"/>
        <v>0</v>
      </c>
      <c r="N70" s="15"/>
      <c r="O70">
        <v>1</v>
      </c>
    </row>
    <row r="71" spans="1:15" ht="45">
      <c r="A71" s="8">
        <v>9</v>
      </c>
      <c r="B71" s="328" t="s">
        <v>378</v>
      </c>
      <c r="C71" s="8" t="s">
        <v>379</v>
      </c>
      <c r="D71" s="8" t="s">
        <v>380</v>
      </c>
      <c r="E71" s="8" t="s">
        <v>54</v>
      </c>
      <c r="F71" s="130">
        <f t="shared" si="58"/>
        <v>504</v>
      </c>
      <c r="G71" s="289">
        <v>480</v>
      </c>
      <c r="H71" s="130">
        <v>24</v>
      </c>
      <c r="I71" s="15">
        <v>0</v>
      </c>
      <c r="J71" s="133">
        <f t="shared" si="59"/>
        <v>504</v>
      </c>
      <c r="K71" s="355">
        <f t="shared" ref="K71:K73" si="66">+G71</f>
        <v>480</v>
      </c>
      <c r="L71" s="355">
        <f t="shared" ref="L71:L73" si="67">+H71</f>
        <v>24</v>
      </c>
      <c r="M71" s="355">
        <f t="shared" ref="M71:M73" si="68">+I71</f>
        <v>0</v>
      </c>
      <c r="N71" s="15"/>
      <c r="O71">
        <v>1</v>
      </c>
    </row>
    <row r="72" spans="1:15" ht="45">
      <c r="A72" s="8">
        <v>10</v>
      </c>
      <c r="B72" s="328" t="s">
        <v>807</v>
      </c>
      <c r="C72" s="8" t="s">
        <v>381</v>
      </c>
      <c r="D72" s="8" t="s">
        <v>382</v>
      </c>
      <c r="E72" s="8" t="s">
        <v>54</v>
      </c>
      <c r="F72" s="130">
        <f t="shared" si="58"/>
        <v>169.5</v>
      </c>
      <c r="G72" s="289">
        <v>160</v>
      </c>
      <c r="H72" s="130">
        <v>9.5</v>
      </c>
      <c r="I72" s="15">
        <v>0</v>
      </c>
      <c r="J72" s="133">
        <f t="shared" si="59"/>
        <v>169.5</v>
      </c>
      <c r="K72" s="355">
        <f t="shared" si="66"/>
        <v>160</v>
      </c>
      <c r="L72" s="355">
        <f t="shared" si="67"/>
        <v>9.5</v>
      </c>
      <c r="M72" s="355">
        <f t="shared" si="68"/>
        <v>0</v>
      </c>
      <c r="N72" s="15"/>
      <c r="O72">
        <v>1</v>
      </c>
    </row>
    <row r="73" spans="1:15" ht="45">
      <c r="A73" s="8">
        <v>11</v>
      </c>
      <c r="B73" s="328" t="s">
        <v>383</v>
      </c>
      <c r="C73" s="8" t="s">
        <v>384</v>
      </c>
      <c r="D73" s="8" t="s">
        <v>385</v>
      </c>
      <c r="E73" s="8" t="s">
        <v>54</v>
      </c>
      <c r="F73" s="130">
        <f t="shared" si="58"/>
        <v>420</v>
      </c>
      <c r="G73" s="289">
        <v>400</v>
      </c>
      <c r="H73" s="130">
        <v>20</v>
      </c>
      <c r="I73" s="15">
        <v>0</v>
      </c>
      <c r="J73" s="133">
        <f t="shared" si="59"/>
        <v>420</v>
      </c>
      <c r="K73" s="355">
        <f t="shared" si="66"/>
        <v>400</v>
      </c>
      <c r="L73" s="355">
        <f t="shared" si="67"/>
        <v>20</v>
      </c>
      <c r="M73" s="355">
        <f t="shared" si="68"/>
        <v>0</v>
      </c>
      <c r="N73" s="15"/>
      <c r="O73">
        <v>1</v>
      </c>
    </row>
    <row r="74" spans="1:15">
      <c r="A74" s="6" t="s">
        <v>392</v>
      </c>
      <c r="B74" s="326" t="s">
        <v>393</v>
      </c>
      <c r="C74" s="24"/>
      <c r="D74" s="23">
        <v>0</v>
      </c>
      <c r="E74" s="23"/>
      <c r="F74" s="345">
        <f t="shared" ref="F74:M74" si="69">SUM(F75:F77)</f>
        <v>2747</v>
      </c>
      <c r="G74" s="346">
        <f t="shared" si="69"/>
        <v>2616</v>
      </c>
      <c r="H74" s="345">
        <f t="shared" si="69"/>
        <v>131</v>
      </c>
      <c r="I74" s="345">
        <f t="shared" si="69"/>
        <v>0</v>
      </c>
      <c r="J74" s="345">
        <f t="shared" si="69"/>
        <v>2747</v>
      </c>
      <c r="K74" s="345">
        <f t="shared" si="69"/>
        <v>2616</v>
      </c>
      <c r="L74" s="345">
        <f t="shared" si="69"/>
        <v>131</v>
      </c>
      <c r="M74" s="345">
        <f t="shared" si="69"/>
        <v>0</v>
      </c>
      <c r="N74" s="16"/>
    </row>
    <row r="75" spans="1:15" ht="45">
      <c r="A75" s="8">
        <v>10</v>
      </c>
      <c r="B75" s="340" t="s">
        <v>418</v>
      </c>
      <c r="C75" s="28" t="s">
        <v>419</v>
      </c>
      <c r="D75" s="8" t="s">
        <v>410</v>
      </c>
      <c r="E75" s="27" t="s">
        <v>54</v>
      </c>
      <c r="F75" s="130">
        <f t="shared" si="58"/>
        <v>499</v>
      </c>
      <c r="G75" s="289">
        <v>475</v>
      </c>
      <c r="H75" s="130">
        <v>24</v>
      </c>
      <c r="I75" s="15">
        <v>0</v>
      </c>
      <c r="J75" s="133">
        <f t="shared" si="59"/>
        <v>499</v>
      </c>
      <c r="K75" s="355">
        <f>+G75</f>
        <v>475</v>
      </c>
      <c r="L75" s="355">
        <f t="shared" ref="L75:M75" si="70">+H75</f>
        <v>24</v>
      </c>
      <c r="M75" s="355">
        <f t="shared" si="70"/>
        <v>0</v>
      </c>
      <c r="N75" s="15"/>
      <c r="O75">
        <v>1</v>
      </c>
    </row>
    <row r="76" spans="1:15" ht="75">
      <c r="A76" s="8">
        <v>11</v>
      </c>
      <c r="B76" s="340" t="s">
        <v>420</v>
      </c>
      <c r="C76" s="28" t="s">
        <v>395</v>
      </c>
      <c r="D76" s="22" t="s">
        <v>421</v>
      </c>
      <c r="E76" s="27" t="s">
        <v>54</v>
      </c>
      <c r="F76" s="130">
        <f t="shared" si="58"/>
        <v>1998</v>
      </c>
      <c r="G76" s="289">
        <v>1903</v>
      </c>
      <c r="H76" s="130">
        <v>95</v>
      </c>
      <c r="I76" s="15">
        <v>0</v>
      </c>
      <c r="J76" s="133">
        <f t="shared" si="59"/>
        <v>1998</v>
      </c>
      <c r="K76" s="355">
        <f t="shared" ref="K76:K77" si="71">+G76</f>
        <v>1903</v>
      </c>
      <c r="L76" s="355">
        <f t="shared" ref="L76:L77" si="72">+H76</f>
        <v>95</v>
      </c>
      <c r="M76" s="355">
        <f t="shared" ref="M76:M77" si="73">+I76</f>
        <v>0</v>
      </c>
      <c r="N76" s="15"/>
      <c r="O76">
        <v>1</v>
      </c>
    </row>
    <row r="77" spans="1:15" ht="30">
      <c r="A77" s="8">
        <v>12</v>
      </c>
      <c r="B77" s="340" t="s">
        <v>422</v>
      </c>
      <c r="C77" s="28" t="s">
        <v>412</v>
      </c>
      <c r="D77" s="8"/>
      <c r="E77" s="27" t="s">
        <v>54</v>
      </c>
      <c r="F77" s="130">
        <f t="shared" si="58"/>
        <v>250</v>
      </c>
      <c r="G77" s="289">
        <v>238</v>
      </c>
      <c r="H77" s="130">
        <v>12</v>
      </c>
      <c r="I77" s="15">
        <v>0</v>
      </c>
      <c r="J77" s="133">
        <f t="shared" si="59"/>
        <v>250</v>
      </c>
      <c r="K77" s="355">
        <f t="shared" si="71"/>
        <v>238</v>
      </c>
      <c r="L77" s="355">
        <f t="shared" si="72"/>
        <v>12</v>
      </c>
      <c r="M77" s="355">
        <f t="shared" si="73"/>
        <v>0</v>
      </c>
      <c r="N77" s="15"/>
      <c r="O77">
        <v>1</v>
      </c>
    </row>
    <row r="78" spans="1:15">
      <c r="A78" s="6" t="s">
        <v>433</v>
      </c>
      <c r="B78" s="339" t="s">
        <v>434</v>
      </c>
      <c r="C78" s="24"/>
      <c r="D78" s="23">
        <v>0</v>
      </c>
      <c r="E78" s="23"/>
      <c r="F78" s="345">
        <f t="shared" ref="F78:M78" si="74">SUM(F79:F79)</f>
        <v>480.9</v>
      </c>
      <c r="G78" s="346">
        <f t="shared" si="74"/>
        <v>458</v>
      </c>
      <c r="H78" s="345">
        <f t="shared" si="74"/>
        <v>22.9</v>
      </c>
      <c r="I78" s="345">
        <f t="shared" si="74"/>
        <v>0</v>
      </c>
      <c r="J78" s="345">
        <f t="shared" si="74"/>
        <v>480.9</v>
      </c>
      <c r="K78" s="345">
        <f t="shared" si="74"/>
        <v>458</v>
      </c>
      <c r="L78" s="345">
        <f t="shared" si="74"/>
        <v>22.9</v>
      </c>
      <c r="M78" s="345">
        <f t="shared" si="74"/>
        <v>0</v>
      </c>
      <c r="N78" s="16"/>
    </row>
    <row r="79" spans="1:15" ht="60">
      <c r="A79" s="8">
        <v>3</v>
      </c>
      <c r="B79" s="340" t="s">
        <v>438</v>
      </c>
      <c r="C79" s="8" t="s">
        <v>436</v>
      </c>
      <c r="D79" s="8" t="s">
        <v>439</v>
      </c>
      <c r="E79" s="8" t="s">
        <v>54</v>
      </c>
      <c r="F79" s="130">
        <f t="shared" si="58"/>
        <v>480.9</v>
      </c>
      <c r="G79" s="289">
        <v>458</v>
      </c>
      <c r="H79" s="130">
        <v>22.9</v>
      </c>
      <c r="I79" s="15">
        <v>0</v>
      </c>
      <c r="J79" s="133">
        <f t="shared" si="59"/>
        <v>480.9</v>
      </c>
      <c r="K79" s="355">
        <f>+G79</f>
        <v>458</v>
      </c>
      <c r="L79" s="355">
        <f t="shared" ref="L79:M79" si="75">+H79</f>
        <v>22.9</v>
      </c>
      <c r="M79" s="355">
        <f t="shared" si="75"/>
        <v>0</v>
      </c>
      <c r="N79" s="15"/>
      <c r="O79">
        <v>1</v>
      </c>
    </row>
    <row r="80" spans="1:15">
      <c r="A80" s="6" t="s">
        <v>442</v>
      </c>
      <c r="B80" s="326" t="s">
        <v>443</v>
      </c>
      <c r="C80" s="6"/>
      <c r="D80" s="23">
        <v>0</v>
      </c>
      <c r="E80" s="23"/>
      <c r="F80" s="345">
        <f t="shared" ref="F80:M80" si="76">SUM(F81:F84)</f>
        <v>2835</v>
      </c>
      <c r="G80" s="346">
        <f t="shared" si="76"/>
        <v>2700</v>
      </c>
      <c r="H80" s="345">
        <f t="shared" si="76"/>
        <v>135</v>
      </c>
      <c r="I80" s="345">
        <f t="shared" si="76"/>
        <v>0</v>
      </c>
      <c r="J80" s="345">
        <f t="shared" si="76"/>
        <v>2835</v>
      </c>
      <c r="K80" s="345">
        <f t="shared" si="76"/>
        <v>2700</v>
      </c>
      <c r="L80" s="345">
        <f t="shared" si="76"/>
        <v>135</v>
      </c>
      <c r="M80" s="345">
        <f t="shared" si="76"/>
        <v>0</v>
      </c>
      <c r="N80" s="16"/>
    </row>
    <row r="81" spans="1:15" ht="90">
      <c r="A81" s="8">
        <v>6</v>
      </c>
      <c r="B81" s="328" t="s">
        <v>456</v>
      </c>
      <c r="C81" s="8" t="s">
        <v>454</v>
      </c>
      <c r="D81" s="8" t="s">
        <v>94</v>
      </c>
      <c r="E81" s="8" t="s">
        <v>54</v>
      </c>
      <c r="F81" s="130">
        <f t="shared" si="58"/>
        <v>420</v>
      </c>
      <c r="G81" s="289">
        <v>400</v>
      </c>
      <c r="H81" s="130">
        <v>20</v>
      </c>
      <c r="I81" s="15">
        <v>0</v>
      </c>
      <c r="J81" s="133">
        <f t="shared" si="59"/>
        <v>420</v>
      </c>
      <c r="K81" s="355">
        <f>+G81</f>
        <v>400</v>
      </c>
      <c r="L81" s="355">
        <f t="shared" ref="L81:M81" si="77">+H81</f>
        <v>20</v>
      </c>
      <c r="M81" s="355">
        <f t="shared" si="77"/>
        <v>0</v>
      </c>
      <c r="N81" s="15"/>
      <c r="O81">
        <v>1</v>
      </c>
    </row>
    <row r="82" spans="1:15" ht="75">
      <c r="A82" s="8">
        <v>7</v>
      </c>
      <c r="B82" s="341" t="s">
        <v>457</v>
      </c>
      <c r="C82" s="8" t="s">
        <v>449</v>
      </c>
      <c r="D82" s="22" t="s">
        <v>458</v>
      </c>
      <c r="E82" s="8" t="s">
        <v>54</v>
      </c>
      <c r="F82" s="130">
        <f t="shared" si="58"/>
        <v>1155</v>
      </c>
      <c r="G82" s="289">
        <v>1100</v>
      </c>
      <c r="H82" s="130">
        <v>55</v>
      </c>
      <c r="I82" s="15">
        <v>0</v>
      </c>
      <c r="J82" s="133">
        <f t="shared" si="59"/>
        <v>1155</v>
      </c>
      <c r="K82" s="355">
        <f t="shared" ref="K82:K84" si="78">+G82</f>
        <v>1100</v>
      </c>
      <c r="L82" s="355">
        <f t="shared" ref="L82:L84" si="79">+H82</f>
        <v>55</v>
      </c>
      <c r="M82" s="355">
        <f t="shared" ref="M82:M84" si="80">+I82</f>
        <v>0</v>
      </c>
      <c r="N82" s="15"/>
      <c r="O82">
        <v>1</v>
      </c>
    </row>
    <row r="83" spans="1:15" ht="75">
      <c r="A83" s="8">
        <v>8</v>
      </c>
      <c r="B83" s="328" t="s">
        <v>459</v>
      </c>
      <c r="C83" s="8" t="s">
        <v>460</v>
      </c>
      <c r="D83" s="22" t="s">
        <v>461</v>
      </c>
      <c r="E83" s="8" t="s">
        <v>54</v>
      </c>
      <c r="F83" s="130">
        <f t="shared" si="58"/>
        <v>840</v>
      </c>
      <c r="G83" s="289">
        <v>800</v>
      </c>
      <c r="H83" s="130">
        <v>40</v>
      </c>
      <c r="I83" s="15">
        <v>0</v>
      </c>
      <c r="J83" s="133">
        <f t="shared" si="59"/>
        <v>840</v>
      </c>
      <c r="K83" s="355">
        <f t="shared" si="78"/>
        <v>800</v>
      </c>
      <c r="L83" s="355">
        <f t="shared" si="79"/>
        <v>40</v>
      </c>
      <c r="M83" s="355">
        <f t="shared" si="80"/>
        <v>0</v>
      </c>
      <c r="N83" s="15"/>
      <c r="O83">
        <v>1</v>
      </c>
    </row>
    <row r="84" spans="1:15" ht="90">
      <c r="A84" s="8">
        <v>9</v>
      </c>
      <c r="B84" s="328" t="s">
        <v>462</v>
      </c>
      <c r="C84" s="8" t="s">
        <v>463</v>
      </c>
      <c r="D84" s="8" t="s">
        <v>94</v>
      </c>
      <c r="E84" s="8" t="s">
        <v>54</v>
      </c>
      <c r="F84" s="130">
        <f t="shared" ref="F84:F99" si="81">G84+H84</f>
        <v>420</v>
      </c>
      <c r="G84" s="289">
        <v>400</v>
      </c>
      <c r="H84" s="130">
        <v>20</v>
      </c>
      <c r="I84" s="15">
        <v>0</v>
      </c>
      <c r="J84" s="133">
        <f t="shared" ref="J84:J99" si="82">K84+L84</f>
        <v>420</v>
      </c>
      <c r="K84" s="355">
        <f t="shared" si="78"/>
        <v>400</v>
      </c>
      <c r="L84" s="355">
        <f t="shared" si="79"/>
        <v>20</v>
      </c>
      <c r="M84" s="355">
        <f t="shared" si="80"/>
        <v>0</v>
      </c>
      <c r="N84" s="15"/>
      <c r="O84">
        <v>1</v>
      </c>
    </row>
    <row r="85" spans="1:15">
      <c r="A85" s="20" t="s">
        <v>471</v>
      </c>
      <c r="B85" s="342" t="s">
        <v>472</v>
      </c>
      <c r="C85" s="24"/>
      <c r="D85" s="23">
        <v>0</v>
      </c>
      <c r="E85" s="23"/>
      <c r="F85" s="345">
        <f t="shared" ref="F85:M85" si="83">SUM(F86:F89)</f>
        <v>1979.25</v>
      </c>
      <c r="G85" s="346">
        <f t="shared" si="83"/>
        <v>1885</v>
      </c>
      <c r="H85" s="345">
        <f t="shared" si="83"/>
        <v>94.25</v>
      </c>
      <c r="I85" s="345">
        <f t="shared" si="83"/>
        <v>0</v>
      </c>
      <c r="J85" s="345">
        <f t="shared" si="83"/>
        <v>1979.25</v>
      </c>
      <c r="K85" s="345">
        <f t="shared" si="83"/>
        <v>1885</v>
      </c>
      <c r="L85" s="345">
        <f t="shared" si="83"/>
        <v>94.25</v>
      </c>
      <c r="M85" s="345">
        <f t="shared" si="83"/>
        <v>0</v>
      </c>
      <c r="N85" s="16"/>
    </row>
    <row r="86" spans="1:15" ht="90">
      <c r="A86" s="8">
        <v>7</v>
      </c>
      <c r="B86" s="328" t="s">
        <v>485</v>
      </c>
      <c r="C86" s="8" t="s">
        <v>486</v>
      </c>
      <c r="D86" s="8" t="s">
        <v>128</v>
      </c>
      <c r="E86" s="19" t="s">
        <v>54</v>
      </c>
      <c r="F86" s="130">
        <f t="shared" si="81"/>
        <v>525</v>
      </c>
      <c r="G86" s="289">
        <v>500</v>
      </c>
      <c r="H86" s="130">
        <v>25</v>
      </c>
      <c r="I86" s="15"/>
      <c r="J86" s="133">
        <f t="shared" si="82"/>
        <v>525</v>
      </c>
      <c r="K86" s="355">
        <f>+G86</f>
        <v>500</v>
      </c>
      <c r="L86" s="355">
        <f t="shared" ref="L86:M86" si="84">+H86</f>
        <v>25</v>
      </c>
      <c r="M86" s="355">
        <f t="shared" si="84"/>
        <v>0</v>
      </c>
      <c r="N86" s="15"/>
      <c r="O86">
        <v>1</v>
      </c>
    </row>
    <row r="87" spans="1:15" ht="30">
      <c r="A87" s="8">
        <v>8</v>
      </c>
      <c r="B87" s="328" t="s">
        <v>487</v>
      </c>
      <c r="C87" s="8" t="s">
        <v>472</v>
      </c>
      <c r="D87" s="8" t="s">
        <v>488</v>
      </c>
      <c r="E87" s="19" t="s">
        <v>54</v>
      </c>
      <c r="F87" s="130">
        <f t="shared" si="81"/>
        <v>420</v>
      </c>
      <c r="G87" s="289">
        <v>400</v>
      </c>
      <c r="H87" s="130">
        <v>20</v>
      </c>
      <c r="I87" s="15"/>
      <c r="J87" s="133">
        <f t="shared" si="82"/>
        <v>420</v>
      </c>
      <c r="K87" s="355">
        <f t="shared" ref="K87:K89" si="85">+G87</f>
        <v>400</v>
      </c>
      <c r="L87" s="355">
        <f t="shared" ref="L87:L89" si="86">+H87</f>
        <v>20</v>
      </c>
      <c r="M87" s="355">
        <f t="shared" ref="M87:M89" si="87">+I87</f>
        <v>0</v>
      </c>
      <c r="N87" s="15"/>
      <c r="O87">
        <v>1</v>
      </c>
    </row>
    <row r="88" spans="1:15" ht="90">
      <c r="A88" s="8">
        <v>9</v>
      </c>
      <c r="B88" s="328" t="s">
        <v>489</v>
      </c>
      <c r="C88" s="8" t="s">
        <v>472</v>
      </c>
      <c r="D88" s="8" t="s">
        <v>159</v>
      </c>
      <c r="E88" s="19" t="s">
        <v>54</v>
      </c>
      <c r="F88" s="130">
        <f t="shared" si="81"/>
        <v>509.25</v>
      </c>
      <c r="G88" s="289">
        <v>485</v>
      </c>
      <c r="H88" s="130">
        <v>24.25</v>
      </c>
      <c r="I88" s="15"/>
      <c r="J88" s="133">
        <f t="shared" si="82"/>
        <v>509.25</v>
      </c>
      <c r="K88" s="355">
        <f t="shared" si="85"/>
        <v>485</v>
      </c>
      <c r="L88" s="355">
        <f t="shared" si="86"/>
        <v>24.25</v>
      </c>
      <c r="M88" s="355">
        <f t="shared" si="87"/>
        <v>0</v>
      </c>
      <c r="N88" s="15"/>
      <c r="O88">
        <v>1</v>
      </c>
    </row>
    <row r="89" spans="1:15" ht="30">
      <c r="A89" s="8">
        <v>10</v>
      </c>
      <c r="B89" s="328" t="s">
        <v>490</v>
      </c>
      <c r="C89" s="8" t="s">
        <v>472</v>
      </c>
      <c r="D89" s="8" t="s">
        <v>491</v>
      </c>
      <c r="E89" s="19" t="s">
        <v>54</v>
      </c>
      <c r="F89" s="130">
        <f t="shared" si="81"/>
        <v>525</v>
      </c>
      <c r="G89" s="289">
        <v>500</v>
      </c>
      <c r="H89" s="130">
        <v>25</v>
      </c>
      <c r="I89" s="15"/>
      <c r="J89" s="133">
        <f t="shared" si="82"/>
        <v>525</v>
      </c>
      <c r="K89" s="355">
        <f t="shared" si="85"/>
        <v>500</v>
      </c>
      <c r="L89" s="355">
        <f t="shared" si="86"/>
        <v>25</v>
      </c>
      <c r="M89" s="355">
        <f t="shared" si="87"/>
        <v>0</v>
      </c>
      <c r="N89" s="15"/>
      <c r="O89">
        <v>1</v>
      </c>
    </row>
    <row r="90" spans="1:15">
      <c r="A90" s="6" t="s">
        <v>499</v>
      </c>
      <c r="B90" s="326" t="s">
        <v>500</v>
      </c>
      <c r="C90" s="24"/>
      <c r="D90" s="23">
        <v>0</v>
      </c>
      <c r="E90" s="23"/>
      <c r="F90" s="345">
        <f t="shared" ref="F90:M90" si="88">SUM(F91:F99)</f>
        <v>3023.4</v>
      </c>
      <c r="G90" s="346">
        <f t="shared" si="88"/>
        <v>2881</v>
      </c>
      <c r="H90" s="345">
        <f t="shared" si="88"/>
        <v>142.4</v>
      </c>
      <c r="I90" s="345">
        <f t="shared" si="88"/>
        <v>0</v>
      </c>
      <c r="J90" s="345">
        <f t="shared" si="88"/>
        <v>3023.4</v>
      </c>
      <c r="K90" s="345">
        <f t="shared" si="88"/>
        <v>2881</v>
      </c>
      <c r="L90" s="345">
        <f t="shared" si="88"/>
        <v>142.4</v>
      </c>
      <c r="M90" s="345">
        <f t="shared" si="88"/>
        <v>0</v>
      </c>
      <c r="N90" s="16"/>
    </row>
    <row r="91" spans="1:15" ht="90">
      <c r="A91" s="8">
        <v>18</v>
      </c>
      <c r="B91" s="328" t="s">
        <v>821</v>
      </c>
      <c r="C91" s="8" t="s">
        <v>334</v>
      </c>
      <c r="D91" s="8" t="s">
        <v>159</v>
      </c>
      <c r="E91" s="8" t="s">
        <v>54</v>
      </c>
      <c r="F91" s="130">
        <f>G91+H91</f>
        <v>452.5</v>
      </c>
      <c r="G91" s="289">
        <v>431</v>
      </c>
      <c r="H91" s="130">
        <v>21.5</v>
      </c>
      <c r="I91" s="15">
        <v>0</v>
      </c>
      <c r="J91" s="133">
        <f t="shared" si="82"/>
        <v>452.5</v>
      </c>
      <c r="K91" s="355">
        <f>+G91</f>
        <v>431</v>
      </c>
      <c r="L91" s="355">
        <f t="shared" ref="L91:M91" si="89">+H91</f>
        <v>21.5</v>
      </c>
      <c r="M91" s="355">
        <f t="shared" si="89"/>
        <v>0</v>
      </c>
      <c r="N91" s="15"/>
      <c r="O91">
        <v>1</v>
      </c>
    </row>
    <row r="92" spans="1:15" ht="90">
      <c r="A92" s="8">
        <v>19</v>
      </c>
      <c r="B92" s="328" t="s">
        <v>822</v>
      </c>
      <c r="C92" s="8" t="s">
        <v>511</v>
      </c>
      <c r="D92" s="8" t="s">
        <v>159</v>
      </c>
      <c r="E92" s="8" t="s">
        <v>54</v>
      </c>
      <c r="F92" s="130">
        <f t="shared" si="81"/>
        <v>420</v>
      </c>
      <c r="G92" s="289">
        <v>400</v>
      </c>
      <c r="H92" s="130">
        <v>20</v>
      </c>
      <c r="I92" s="15">
        <v>0</v>
      </c>
      <c r="J92" s="133">
        <f t="shared" si="82"/>
        <v>420</v>
      </c>
      <c r="K92" s="355">
        <f t="shared" ref="K92:K99" si="90">+G92</f>
        <v>400</v>
      </c>
      <c r="L92" s="355">
        <f t="shared" ref="L92:L99" si="91">+H92</f>
        <v>20</v>
      </c>
      <c r="M92" s="355">
        <f t="shared" ref="M92:M99" si="92">+I92</f>
        <v>0</v>
      </c>
      <c r="N92" s="15"/>
      <c r="O92">
        <v>1</v>
      </c>
    </row>
    <row r="93" spans="1:15" ht="90">
      <c r="A93" s="8">
        <v>20</v>
      </c>
      <c r="B93" s="328" t="s">
        <v>526</v>
      </c>
      <c r="C93" s="8" t="s">
        <v>515</v>
      </c>
      <c r="D93" s="8" t="s">
        <v>527</v>
      </c>
      <c r="E93" s="8" t="s">
        <v>54</v>
      </c>
      <c r="F93" s="130">
        <f t="shared" si="81"/>
        <v>420</v>
      </c>
      <c r="G93" s="289">
        <v>400</v>
      </c>
      <c r="H93" s="130">
        <v>20</v>
      </c>
      <c r="I93" s="15">
        <v>0</v>
      </c>
      <c r="J93" s="133">
        <f t="shared" si="82"/>
        <v>420</v>
      </c>
      <c r="K93" s="355">
        <f t="shared" si="90"/>
        <v>400</v>
      </c>
      <c r="L93" s="355">
        <f t="shared" si="91"/>
        <v>20</v>
      </c>
      <c r="M93" s="355">
        <f t="shared" si="92"/>
        <v>0</v>
      </c>
      <c r="N93" s="15"/>
      <c r="O93">
        <v>1</v>
      </c>
    </row>
    <row r="94" spans="1:15" ht="45">
      <c r="A94" s="8">
        <v>21</v>
      </c>
      <c r="B94" s="328" t="s">
        <v>528</v>
      </c>
      <c r="C94" s="8" t="s">
        <v>529</v>
      </c>
      <c r="D94" s="8" t="s">
        <v>530</v>
      </c>
      <c r="E94" s="8" t="s">
        <v>54</v>
      </c>
      <c r="F94" s="130">
        <f t="shared" si="81"/>
        <v>313.39999999999998</v>
      </c>
      <c r="G94" s="289">
        <v>300</v>
      </c>
      <c r="H94" s="130">
        <v>13.4</v>
      </c>
      <c r="I94" s="15">
        <v>0</v>
      </c>
      <c r="J94" s="133">
        <f t="shared" si="82"/>
        <v>313.39999999999998</v>
      </c>
      <c r="K94" s="355">
        <f t="shared" si="90"/>
        <v>300</v>
      </c>
      <c r="L94" s="355">
        <f t="shared" si="91"/>
        <v>13.4</v>
      </c>
      <c r="M94" s="355">
        <f t="shared" si="92"/>
        <v>0</v>
      </c>
      <c r="N94" s="15"/>
      <c r="O94">
        <v>1</v>
      </c>
    </row>
    <row r="95" spans="1:15" ht="45">
      <c r="A95" s="8">
        <v>22</v>
      </c>
      <c r="B95" s="328" t="s">
        <v>531</v>
      </c>
      <c r="C95" s="8" t="s">
        <v>509</v>
      </c>
      <c r="D95" s="8" t="s">
        <v>532</v>
      </c>
      <c r="E95" s="8" t="s">
        <v>54</v>
      </c>
      <c r="F95" s="130">
        <f t="shared" si="81"/>
        <v>262.5</v>
      </c>
      <c r="G95" s="289">
        <v>250</v>
      </c>
      <c r="H95" s="130">
        <v>12.5</v>
      </c>
      <c r="I95" s="15">
        <v>0</v>
      </c>
      <c r="J95" s="133">
        <f t="shared" si="82"/>
        <v>262.5</v>
      </c>
      <c r="K95" s="355">
        <f t="shared" si="90"/>
        <v>250</v>
      </c>
      <c r="L95" s="355">
        <f t="shared" si="91"/>
        <v>12.5</v>
      </c>
      <c r="M95" s="355">
        <f t="shared" si="92"/>
        <v>0</v>
      </c>
      <c r="N95" s="15"/>
      <c r="O95">
        <v>1</v>
      </c>
    </row>
    <row r="96" spans="1:15" ht="30">
      <c r="A96" s="8">
        <v>23</v>
      </c>
      <c r="B96" s="328" t="s">
        <v>810</v>
      </c>
      <c r="C96" s="8" t="s">
        <v>334</v>
      </c>
      <c r="D96" s="8" t="s">
        <v>533</v>
      </c>
      <c r="E96" s="8" t="s">
        <v>54</v>
      </c>
      <c r="F96" s="130">
        <f t="shared" si="81"/>
        <v>315</v>
      </c>
      <c r="G96" s="289">
        <v>300</v>
      </c>
      <c r="H96" s="130">
        <v>15</v>
      </c>
      <c r="I96" s="15">
        <v>0</v>
      </c>
      <c r="J96" s="133">
        <f t="shared" si="82"/>
        <v>315</v>
      </c>
      <c r="K96" s="355">
        <f t="shared" si="90"/>
        <v>300</v>
      </c>
      <c r="L96" s="355">
        <f t="shared" si="91"/>
        <v>15</v>
      </c>
      <c r="M96" s="355">
        <f t="shared" si="92"/>
        <v>0</v>
      </c>
      <c r="N96" s="15"/>
      <c r="O96">
        <v>1</v>
      </c>
    </row>
    <row r="97" spans="1:15" ht="75">
      <c r="A97" s="8">
        <v>24</v>
      </c>
      <c r="B97" s="328" t="s">
        <v>534</v>
      </c>
      <c r="C97" s="8" t="s">
        <v>509</v>
      </c>
      <c r="D97" s="22" t="s">
        <v>535</v>
      </c>
      <c r="E97" s="8" t="s">
        <v>54</v>
      </c>
      <c r="F97" s="130">
        <f t="shared" si="81"/>
        <v>420</v>
      </c>
      <c r="G97" s="289">
        <v>400</v>
      </c>
      <c r="H97" s="130">
        <v>20</v>
      </c>
      <c r="I97" s="15">
        <v>0</v>
      </c>
      <c r="J97" s="133">
        <f t="shared" si="82"/>
        <v>420</v>
      </c>
      <c r="K97" s="355">
        <f t="shared" si="90"/>
        <v>400</v>
      </c>
      <c r="L97" s="355">
        <f t="shared" si="91"/>
        <v>20</v>
      </c>
      <c r="M97" s="355">
        <f t="shared" si="92"/>
        <v>0</v>
      </c>
      <c r="N97" s="15"/>
      <c r="O97">
        <v>1</v>
      </c>
    </row>
    <row r="98" spans="1:15" ht="30">
      <c r="A98" s="8">
        <v>25</v>
      </c>
      <c r="B98" s="328" t="s">
        <v>536</v>
      </c>
      <c r="C98" s="8" t="s">
        <v>515</v>
      </c>
      <c r="D98" s="8" t="s">
        <v>537</v>
      </c>
      <c r="E98" s="8" t="s">
        <v>54</v>
      </c>
      <c r="F98" s="130">
        <f t="shared" si="81"/>
        <v>210</v>
      </c>
      <c r="G98" s="289">
        <v>200</v>
      </c>
      <c r="H98" s="130">
        <v>10</v>
      </c>
      <c r="I98" s="15">
        <v>0</v>
      </c>
      <c r="J98" s="133">
        <f t="shared" si="82"/>
        <v>210</v>
      </c>
      <c r="K98" s="355">
        <f t="shared" si="90"/>
        <v>200</v>
      </c>
      <c r="L98" s="355">
        <f t="shared" si="91"/>
        <v>10</v>
      </c>
      <c r="M98" s="355">
        <f t="shared" si="92"/>
        <v>0</v>
      </c>
      <c r="N98" s="15"/>
      <c r="O98">
        <v>1</v>
      </c>
    </row>
    <row r="99" spans="1:15" ht="45">
      <c r="A99" s="8">
        <v>26</v>
      </c>
      <c r="B99" s="328" t="s">
        <v>538</v>
      </c>
      <c r="C99" s="8" t="s">
        <v>506</v>
      </c>
      <c r="D99" s="8" t="s">
        <v>539</v>
      </c>
      <c r="E99" s="8" t="s">
        <v>54</v>
      </c>
      <c r="F99" s="130">
        <f t="shared" si="81"/>
        <v>210</v>
      </c>
      <c r="G99" s="289">
        <v>200</v>
      </c>
      <c r="H99" s="130">
        <v>10</v>
      </c>
      <c r="I99" s="15">
        <v>0</v>
      </c>
      <c r="J99" s="133">
        <f t="shared" si="82"/>
        <v>210</v>
      </c>
      <c r="K99" s="355">
        <f t="shared" si="90"/>
        <v>200</v>
      </c>
      <c r="L99" s="355">
        <f t="shared" si="91"/>
        <v>10</v>
      </c>
      <c r="M99" s="355">
        <f t="shared" si="92"/>
        <v>0</v>
      </c>
      <c r="N99" s="15"/>
      <c r="O99">
        <v>1</v>
      </c>
    </row>
    <row r="100" spans="1:15">
      <c r="O100">
        <f>SUM(O23:O99)</f>
        <v>61</v>
      </c>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dimension ref="A1:U93"/>
  <sheetViews>
    <sheetView topLeftCell="A79" zoomScale="70" zoomScaleNormal="70" workbookViewId="0">
      <selection activeCell="O94" sqref="O94"/>
    </sheetView>
  </sheetViews>
  <sheetFormatPr defaultRowHeight="15"/>
  <cols>
    <col min="1" max="1" width="5.7109375" customWidth="1"/>
    <col min="2" max="2" width="34.7109375" customWidth="1"/>
    <col min="4" max="4" width="34.85546875" customWidth="1"/>
    <col min="6" max="13" width="11.140625" customWidth="1"/>
    <col min="19" max="19" width="9.28515625" bestFit="1" customWidth="1"/>
  </cols>
  <sheetData>
    <row r="1" spans="1:14">
      <c r="A1" s="654" t="s">
        <v>553</v>
      </c>
      <c r="B1" s="654"/>
      <c r="C1" s="654"/>
      <c r="D1" s="654"/>
      <c r="E1" s="654"/>
      <c r="F1" s="654"/>
      <c r="G1" s="654"/>
      <c r="H1" s="654"/>
      <c r="I1" s="654"/>
      <c r="J1" s="654"/>
      <c r="K1" s="654"/>
      <c r="L1" s="654"/>
      <c r="M1" s="654"/>
      <c r="N1" s="654"/>
    </row>
    <row r="2" spans="1:14">
      <c r="A2" s="642" t="s">
        <v>913</v>
      </c>
      <c r="B2" s="642"/>
      <c r="C2" s="642"/>
      <c r="D2" s="642"/>
      <c r="E2" s="642"/>
      <c r="F2" s="642"/>
      <c r="G2" s="642"/>
      <c r="H2" s="642"/>
      <c r="I2" s="642"/>
      <c r="J2" s="642"/>
      <c r="K2" s="642"/>
      <c r="L2" s="642"/>
      <c r="M2" s="642"/>
      <c r="N2" s="642"/>
    </row>
    <row r="3" spans="1:14">
      <c r="A3" s="2"/>
      <c r="B3" s="234"/>
      <c r="C3" s="2"/>
      <c r="D3" s="2"/>
      <c r="E3" s="2"/>
      <c r="F3" s="235"/>
      <c r="G3" s="282"/>
      <c r="H3" s="643" t="s">
        <v>0</v>
      </c>
      <c r="I3" s="643"/>
      <c r="J3" s="643"/>
      <c r="K3" s="643"/>
      <c r="L3" s="643"/>
      <c r="M3" s="643"/>
      <c r="N3" s="643"/>
    </row>
    <row r="4" spans="1:14">
      <c r="A4" s="644" t="s">
        <v>1</v>
      </c>
      <c r="B4" s="645" t="s">
        <v>2</v>
      </c>
      <c r="C4" s="644" t="s">
        <v>3</v>
      </c>
      <c r="D4" s="644" t="s">
        <v>4</v>
      </c>
      <c r="E4" s="644" t="s">
        <v>5</v>
      </c>
      <c r="F4" s="655" t="s">
        <v>6</v>
      </c>
      <c r="G4" s="656"/>
      <c r="H4" s="656"/>
      <c r="I4" s="657"/>
      <c r="J4" s="655" t="s">
        <v>7</v>
      </c>
      <c r="K4" s="656"/>
      <c r="L4" s="656"/>
      <c r="M4" s="657"/>
      <c r="N4" s="644" t="s">
        <v>8</v>
      </c>
    </row>
    <row r="5" spans="1:14" ht="42.75">
      <c r="A5" s="644"/>
      <c r="B5" s="645"/>
      <c r="C5" s="644"/>
      <c r="D5" s="644"/>
      <c r="E5" s="644"/>
      <c r="F5" s="3" t="s">
        <v>9</v>
      </c>
      <c r="G5" s="283" t="s">
        <v>10</v>
      </c>
      <c r="H5" s="3" t="s">
        <v>11</v>
      </c>
      <c r="I5" s="3" t="s">
        <v>12</v>
      </c>
      <c r="J5" s="3" t="s">
        <v>9</v>
      </c>
      <c r="K5" s="3" t="s">
        <v>10</v>
      </c>
      <c r="L5" s="3" t="s">
        <v>11</v>
      </c>
      <c r="M5" s="3" t="s">
        <v>12</v>
      </c>
      <c r="N5" s="644"/>
    </row>
    <row r="6" spans="1:14">
      <c r="A6" s="4"/>
      <c r="B6" s="298" t="s">
        <v>13</v>
      </c>
      <c r="C6" s="4"/>
      <c r="D6" s="4"/>
      <c r="E6" s="4"/>
      <c r="F6" s="5">
        <f t="shared" ref="F6:M6" si="0">F7+F13+F15+F17+F1019+F1022+F1028+F1030</f>
        <v>241228</v>
      </c>
      <c r="G6" s="281">
        <f t="shared" si="0"/>
        <v>231351</v>
      </c>
      <c r="H6" s="5">
        <f t="shared" si="0"/>
        <v>9877</v>
      </c>
      <c r="I6" s="5">
        <f t="shared" si="0"/>
        <v>0</v>
      </c>
      <c r="J6" s="5">
        <f t="shared" si="0"/>
        <v>49667</v>
      </c>
      <c r="K6" s="5">
        <f t="shared" si="0"/>
        <v>47503</v>
      </c>
      <c r="L6" s="5">
        <f t="shared" si="0"/>
        <v>2164</v>
      </c>
      <c r="M6" s="5">
        <f t="shared" si="0"/>
        <v>0</v>
      </c>
      <c r="N6" s="4"/>
    </row>
    <row r="7" spans="1:14" ht="57" hidden="1">
      <c r="A7" s="298" t="s">
        <v>14</v>
      </c>
      <c r="B7" s="236" t="s">
        <v>15</v>
      </c>
      <c r="C7" s="236"/>
      <c r="D7" s="236"/>
      <c r="E7" s="236"/>
      <c r="F7" s="237">
        <f>F8+F10</f>
        <v>135888</v>
      </c>
      <c r="G7" s="284">
        <f>G8+G10</f>
        <v>130885</v>
      </c>
      <c r="H7" s="237">
        <f>H8+H10</f>
        <v>5003</v>
      </c>
      <c r="I7" s="237"/>
      <c r="J7" s="237">
        <f>J8+J10</f>
        <v>34687</v>
      </c>
      <c r="K7" s="237">
        <f>K8+K10</f>
        <v>33141</v>
      </c>
      <c r="L7" s="237">
        <f>L8+L10</f>
        <v>1546</v>
      </c>
      <c r="M7" s="237">
        <f>M8+M10</f>
        <v>0</v>
      </c>
      <c r="N7" s="236"/>
    </row>
    <row r="8" spans="1:14" hidden="1">
      <c r="A8" s="6" t="s">
        <v>16</v>
      </c>
      <c r="B8" s="658" t="s">
        <v>17</v>
      </c>
      <c r="C8" s="658"/>
      <c r="D8" s="239"/>
      <c r="E8" s="239"/>
      <c r="F8" s="240">
        <f t="shared" ref="F8:F14" si="1">G8+H8</f>
        <v>9796</v>
      </c>
      <c r="G8" s="285">
        <f>SUM(G9:G9)</f>
        <v>9020</v>
      </c>
      <c r="H8" s="240">
        <f>SUM(H9:H9)</f>
        <v>776</v>
      </c>
      <c r="I8" s="240">
        <f>J8+K8</f>
        <v>1020</v>
      </c>
      <c r="J8" s="240">
        <f>SUM(J9:J9)</f>
        <v>530</v>
      </c>
      <c r="K8" s="240">
        <f>SUM(K9:K9)</f>
        <v>490</v>
      </c>
      <c r="L8" s="240">
        <f>SUM(L9:L9)</f>
        <v>40</v>
      </c>
      <c r="M8" s="240">
        <f>SUM(M9:M9)</f>
        <v>0</v>
      </c>
      <c r="N8" s="239"/>
    </row>
    <row r="9" spans="1:14" ht="30" hidden="1">
      <c r="A9" s="8">
        <v>5</v>
      </c>
      <c r="B9" s="241" t="s">
        <v>23</v>
      </c>
      <c r="C9" s="241"/>
      <c r="D9" s="241"/>
      <c r="E9" s="9" t="s">
        <v>19</v>
      </c>
      <c r="F9" s="242">
        <f t="shared" si="1"/>
        <v>9796</v>
      </c>
      <c r="G9" s="286">
        <v>9020</v>
      </c>
      <c r="H9" s="243">
        <v>776</v>
      </c>
      <c r="I9" s="241"/>
      <c r="J9" s="242">
        <f t="shared" ref="J9" si="2">K9+L9</f>
        <v>530</v>
      </c>
      <c r="K9" s="244">
        <v>490</v>
      </c>
      <c r="L9" s="244">
        <v>40</v>
      </c>
      <c r="M9" s="244"/>
      <c r="N9" s="241"/>
    </row>
    <row r="10" spans="1:14" hidden="1">
      <c r="A10" s="6" t="s">
        <v>26</v>
      </c>
      <c r="B10" s="712" t="s">
        <v>27</v>
      </c>
      <c r="C10" s="713"/>
      <c r="D10" s="6"/>
      <c r="E10" s="6"/>
      <c r="F10" s="240">
        <f t="shared" si="1"/>
        <v>126092</v>
      </c>
      <c r="G10" s="285">
        <f>SUM(G11:G12)</f>
        <v>121865</v>
      </c>
      <c r="H10" s="240">
        <f>SUM(H11:H12)</f>
        <v>4227</v>
      </c>
      <c r="I10" s="240"/>
      <c r="J10" s="240">
        <f t="shared" ref="J10:M10" si="3">SUM(J11:J12)</f>
        <v>34157</v>
      </c>
      <c r="K10" s="240">
        <f t="shared" si="3"/>
        <v>32651</v>
      </c>
      <c r="L10" s="240">
        <f t="shared" si="3"/>
        <v>1506</v>
      </c>
      <c r="M10" s="240">
        <f t="shared" si="3"/>
        <v>0</v>
      </c>
      <c r="N10" s="6"/>
    </row>
    <row r="11" spans="1:14" ht="60" hidden="1">
      <c r="A11" s="10">
        <v>1</v>
      </c>
      <c r="B11" s="241" t="s">
        <v>28</v>
      </c>
      <c r="C11" s="10" t="s">
        <v>29</v>
      </c>
      <c r="D11" s="10" t="s">
        <v>30</v>
      </c>
      <c r="E11" s="8" t="s">
        <v>31</v>
      </c>
      <c r="F11" s="242">
        <f t="shared" si="1"/>
        <v>70000</v>
      </c>
      <c r="G11" s="287">
        <v>66247</v>
      </c>
      <c r="H11" s="242">
        <v>3753</v>
      </c>
      <c r="I11" s="245"/>
      <c r="J11" s="242">
        <f>K11+L11</f>
        <v>32157</v>
      </c>
      <c r="K11" s="242">
        <v>30651</v>
      </c>
      <c r="L11" s="242">
        <v>1506</v>
      </c>
      <c r="M11" s="245"/>
      <c r="N11" s="4"/>
    </row>
    <row r="12" spans="1:14" ht="60" hidden="1">
      <c r="A12" s="10">
        <v>2</v>
      </c>
      <c r="B12" s="241" t="s">
        <v>32</v>
      </c>
      <c r="C12" s="10" t="s">
        <v>29</v>
      </c>
      <c r="D12" s="10" t="s">
        <v>30</v>
      </c>
      <c r="E12" s="8" t="s">
        <v>33</v>
      </c>
      <c r="F12" s="242">
        <f t="shared" si="1"/>
        <v>56092</v>
      </c>
      <c r="G12" s="287">
        <v>55618</v>
      </c>
      <c r="H12" s="242">
        <v>474</v>
      </c>
      <c r="I12" s="246"/>
      <c r="J12" s="242">
        <f>K12+L12</f>
        <v>2000</v>
      </c>
      <c r="K12" s="242">
        <v>2000</v>
      </c>
      <c r="L12" s="242"/>
      <c r="M12" s="245"/>
      <c r="N12" s="4"/>
    </row>
    <row r="13" spans="1:14" ht="42.75" hidden="1">
      <c r="A13" s="298" t="s">
        <v>34</v>
      </c>
      <c r="B13" s="236" t="s">
        <v>35</v>
      </c>
      <c r="C13" s="236"/>
      <c r="D13" s="236"/>
      <c r="E13" s="4"/>
      <c r="F13" s="247">
        <f t="shared" si="1"/>
        <v>45000</v>
      </c>
      <c r="G13" s="288">
        <f>SUM(G14:G14)</f>
        <v>43000</v>
      </c>
      <c r="H13" s="247">
        <f>SUM(H14:H14)</f>
        <v>2000</v>
      </c>
      <c r="I13" s="248"/>
      <c r="J13" s="247">
        <f>K13+L13</f>
        <v>2000</v>
      </c>
      <c r="K13" s="247">
        <f>SUM(K14:K14)</f>
        <v>2000</v>
      </c>
      <c r="L13" s="247">
        <f>SUM(L14:L14)</f>
        <v>0</v>
      </c>
      <c r="M13" s="247">
        <f>SUM(M14:M14)</f>
        <v>0</v>
      </c>
      <c r="N13" s="4"/>
    </row>
    <row r="14" spans="1:14" ht="75" hidden="1">
      <c r="A14" s="10">
        <v>5</v>
      </c>
      <c r="B14" s="241" t="s">
        <v>37</v>
      </c>
      <c r="C14" s="10" t="s">
        <v>38</v>
      </c>
      <c r="D14" s="10" t="s">
        <v>36</v>
      </c>
      <c r="E14" s="8" t="s">
        <v>33</v>
      </c>
      <c r="F14" s="242">
        <f t="shared" si="1"/>
        <v>45000</v>
      </c>
      <c r="G14" s="287">
        <v>43000</v>
      </c>
      <c r="H14" s="242">
        <v>2000</v>
      </c>
      <c r="I14" s="246"/>
      <c r="J14" s="242">
        <f t="shared" ref="J14" si="4">K14+L14</f>
        <v>2000</v>
      </c>
      <c r="K14" s="242">
        <v>2000</v>
      </c>
      <c r="L14" s="242"/>
      <c r="M14" s="245"/>
      <c r="N14" s="4"/>
    </row>
    <row r="15" spans="1:14" ht="85.5" hidden="1">
      <c r="A15" s="11" t="s">
        <v>39</v>
      </c>
      <c r="B15" s="239" t="s">
        <v>40</v>
      </c>
      <c r="C15" s="11"/>
      <c r="D15" s="11"/>
      <c r="E15" s="298"/>
      <c r="F15" s="247">
        <f t="shared" ref="F15:M15" si="5">F16</f>
        <v>30170</v>
      </c>
      <c r="G15" s="288">
        <f t="shared" si="5"/>
        <v>28733</v>
      </c>
      <c r="H15" s="247">
        <f t="shared" si="5"/>
        <v>1437</v>
      </c>
      <c r="I15" s="247">
        <f t="shared" si="5"/>
        <v>0</v>
      </c>
      <c r="J15" s="247">
        <f t="shared" si="5"/>
        <v>6490</v>
      </c>
      <c r="K15" s="247">
        <f t="shared" si="5"/>
        <v>6181</v>
      </c>
      <c r="L15" s="247">
        <f t="shared" si="5"/>
        <v>309</v>
      </c>
      <c r="M15" s="247">
        <f t="shared" si="5"/>
        <v>0</v>
      </c>
      <c r="N15" s="6"/>
    </row>
    <row r="16" spans="1:14" ht="30" hidden="1">
      <c r="A16" s="10">
        <v>1</v>
      </c>
      <c r="B16" s="241" t="s">
        <v>41</v>
      </c>
      <c r="C16" s="10" t="s">
        <v>42</v>
      </c>
      <c r="D16" s="10" t="s">
        <v>43</v>
      </c>
      <c r="E16" s="8" t="s">
        <v>31</v>
      </c>
      <c r="F16" s="242">
        <f>G16+H16</f>
        <v>30170</v>
      </c>
      <c r="G16" s="287">
        <v>28733</v>
      </c>
      <c r="H16" s="242">
        <v>1437</v>
      </c>
      <c r="I16" s="246"/>
      <c r="J16" s="242">
        <f>K16+L16</f>
        <v>6490</v>
      </c>
      <c r="K16" s="242">
        <v>6181</v>
      </c>
      <c r="L16" s="242">
        <v>309</v>
      </c>
      <c r="M16" s="245"/>
      <c r="N16" s="4"/>
    </row>
    <row r="17" spans="1:21" ht="57" hidden="1">
      <c r="A17" s="298" t="s">
        <v>44</v>
      </c>
      <c r="B17" s="236" t="s">
        <v>45</v>
      </c>
      <c r="C17" s="236"/>
      <c r="D17" s="236"/>
      <c r="E17" s="236"/>
      <c r="F17" s="237">
        <f t="shared" ref="F17:M17" si="6">F18+F996+F1000+F1002</f>
        <v>30170</v>
      </c>
      <c r="G17" s="284">
        <f t="shared" si="6"/>
        <v>28733</v>
      </c>
      <c r="H17" s="237">
        <f t="shared" si="6"/>
        <v>1437</v>
      </c>
      <c r="I17" s="237">
        <f t="shared" si="6"/>
        <v>0</v>
      </c>
      <c r="J17" s="237">
        <f t="shared" si="6"/>
        <v>6490</v>
      </c>
      <c r="K17" s="237">
        <f t="shared" si="6"/>
        <v>6181</v>
      </c>
      <c r="L17" s="237">
        <f t="shared" si="6"/>
        <v>309</v>
      </c>
      <c r="M17" s="237">
        <f t="shared" si="6"/>
        <v>0</v>
      </c>
      <c r="N17" s="236"/>
    </row>
    <row r="18" spans="1:21" ht="30" hidden="1">
      <c r="A18" s="10">
        <v>1</v>
      </c>
      <c r="B18" s="9" t="s">
        <v>41</v>
      </c>
      <c r="C18" s="10" t="s">
        <v>42</v>
      </c>
      <c r="D18" s="10" t="s">
        <v>43</v>
      </c>
      <c r="E18" s="8" t="s">
        <v>31</v>
      </c>
      <c r="F18" s="130">
        <f>G18+H18</f>
        <v>30170</v>
      </c>
      <c r="G18" s="289">
        <v>28733</v>
      </c>
      <c r="H18" s="130">
        <v>1437</v>
      </c>
      <c r="I18" s="131"/>
      <c r="J18" s="130">
        <f>K18+L18</f>
        <v>6490</v>
      </c>
      <c r="K18" s="130">
        <v>6181</v>
      </c>
      <c r="L18" s="130">
        <v>309</v>
      </c>
      <c r="M18" s="4"/>
      <c r="N18" s="4"/>
    </row>
    <row r="19" spans="1:21" ht="57">
      <c r="A19" s="298" t="s">
        <v>44</v>
      </c>
      <c r="B19" s="12" t="s">
        <v>45</v>
      </c>
      <c r="C19" s="12"/>
      <c r="D19" s="12"/>
      <c r="E19" s="12"/>
      <c r="F19" s="127" t="e">
        <f>F20+#REF!+#REF!+#REF!</f>
        <v>#REF!</v>
      </c>
      <c r="G19" s="290" t="e">
        <f>G20+#REF!+#REF!+#REF!</f>
        <v>#REF!</v>
      </c>
      <c r="H19" s="127" t="e">
        <f>H20+#REF!+#REF!+#REF!</f>
        <v>#REF!</v>
      </c>
      <c r="I19" s="127" t="e">
        <f>I20+#REF!+#REF!+#REF!</f>
        <v>#REF!</v>
      </c>
      <c r="J19" s="127" t="e">
        <f>J20+#REF!+#REF!+#REF!</f>
        <v>#REF!</v>
      </c>
      <c r="K19" s="127" t="e">
        <f>K20+#REF!+#REF!+#REF!</f>
        <v>#REF!</v>
      </c>
      <c r="L19" s="127" t="e">
        <f>L20+#REF!+#REF!+#REF!</f>
        <v>#REF!</v>
      </c>
      <c r="M19" s="127" t="e">
        <f>M20+#REF!+#REF!+#REF!</f>
        <v>#REF!</v>
      </c>
      <c r="N19" s="12"/>
    </row>
    <row r="20" spans="1:21" ht="60">
      <c r="A20" s="6" t="s">
        <v>46</v>
      </c>
      <c r="B20" s="128" t="s">
        <v>47</v>
      </c>
      <c r="C20" s="128"/>
      <c r="D20" s="128"/>
      <c r="E20" s="128"/>
      <c r="F20" s="132" t="e">
        <f>#REF!+#REF!+#REF!+#REF!+F21+#REF!+#REF!+#REF!</f>
        <v>#REF!</v>
      </c>
      <c r="G20" s="291" t="e">
        <f>#REF!+#REF!+#REF!+#REF!+G21+#REF!+#REF!+#REF!</f>
        <v>#REF!</v>
      </c>
      <c r="H20" s="132" t="e">
        <f>#REF!+#REF!+#REF!+#REF!+H21+#REF!+#REF!+#REF!</f>
        <v>#REF!</v>
      </c>
      <c r="I20" s="132" t="e">
        <f>#REF!+#REF!+#REF!+#REF!+I21+#REF!+#REF!+#REF!</f>
        <v>#REF!</v>
      </c>
      <c r="J20" s="132" t="e">
        <f>#REF!+#REF!+#REF!+#REF!+J21+#REF!+#REF!+#REF!</f>
        <v>#REF!</v>
      </c>
      <c r="K20" s="132" t="e">
        <f>#REF!+#REF!+#REF!+#REF!+K21+#REF!+#REF!+#REF!+0.1</f>
        <v>#REF!</v>
      </c>
      <c r="L20" s="132" t="e">
        <f>#REF!+#REF!+#REF!+#REF!+L21+#REF!+#REF!+#REF!</f>
        <v>#REF!</v>
      </c>
      <c r="M20" s="132" t="e">
        <f>#REF!+#REF!+#REF!+#REF!+M21+#REF!+#REF!+#REF!</f>
        <v>#REF!</v>
      </c>
      <c r="N20" s="12"/>
    </row>
    <row r="21" spans="1:21">
      <c r="A21" s="298"/>
      <c r="B21" s="298" t="s">
        <v>715</v>
      </c>
      <c r="C21" s="15"/>
      <c r="D21" s="15"/>
      <c r="E21" s="15"/>
      <c r="F21" s="412">
        <f t="shared" ref="F21:M21" si="7">F22+F27+F30+F33+F35+F39+F43+F46+F54+F50+F57+F63+F67+F75+F77+F82+F86</f>
        <v>35141.840000000004</v>
      </c>
      <c r="G21" s="412">
        <f t="shared" si="7"/>
        <v>33469.03</v>
      </c>
      <c r="H21" s="412">
        <f t="shared" si="7"/>
        <v>1672.8100000000002</v>
      </c>
      <c r="I21" s="412">
        <f t="shared" si="7"/>
        <v>0</v>
      </c>
      <c r="J21" s="412">
        <f t="shared" si="7"/>
        <v>35141.840000000004</v>
      </c>
      <c r="K21" s="412">
        <f t="shared" si="7"/>
        <v>33469.03</v>
      </c>
      <c r="L21" s="412">
        <f t="shared" si="7"/>
        <v>1672.8100000000002</v>
      </c>
      <c r="M21" s="320">
        <f t="shared" si="7"/>
        <v>0</v>
      </c>
      <c r="N21" s="321"/>
      <c r="S21" s="403" t="e">
        <f>+J21+'NĂM 2024'!J21+'NĂM 2023'!N21+'NĂM 2022'!#REF!</f>
        <v>#REF!</v>
      </c>
      <c r="T21" s="403" t="e">
        <f>+K21+'NĂM 2024'!K21+'NĂM 2023'!O21+'NĂM 2022'!#REF!</f>
        <v>#REF!</v>
      </c>
      <c r="U21" s="403" t="e">
        <f>+L21+'NĂM 2024'!L21+'NĂM 2023'!P21+'NĂM 2022'!#REF!</f>
        <v>#REF!</v>
      </c>
    </row>
    <row r="22" spans="1:21">
      <c r="A22" s="6" t="s">
        <v>60</v>
      </c>
      <c r="B22" s="6" t="s">
        <v>61</v>
      </c>
      <c r="C22" s="16"/>
      <c r="D22" s="16"/>
      <c r="E22" s="16"/>
      <c r="F22" s="378">
        <f t="shared" ref="F22:M22" si="8">SUM(F23:F26)</f>
        <v>813.12000000000012</v>
      </c>
      <c r="G22" s="380">
        <f t="shared" si="8"/>
        <v>774.40000000000009</v>
      </c>
      <c r="H22" s="380">
        <f t="shared" si="8"/>
        <v>38.72</v>
      </c>
      <c r="I22" s="380">
        <f t="shared" si="8"/>
        <v>0</v>
      </c>
      <c r="J22" s="380">
        <f t="shared" si="8"/>
        <v>813.12000000000012</v>
      </c>
      <c r="K22" s="380">
        <f t="shared" si="8"/>
        <v>774.40000000000009</v>
      </c>
      <c r="L22" s="380">
        <f t="shared" si="8"/>
        <v>38.72</v>
      </c>
      <c r="M22" s="344">
        <f t="shared" si="8"/>
        <v>0</v>
      </c>
      <c r="N22" s="322"/>
    </row>
    <row r="23" spans="1:21" ht="75">
      <c r="A23" s="141">
        <v>10</v>
      </c>
      <c r="B23" s="325" t="s">
        <v>82</v>
      </c>
      <c r="C23" s="141" t="s">
        <v>63</v>
      </c>
      <c r="D23" s="141" t="s">
        <v>83</v>
      </c>
      <c r="E23" s="141" t="s">
        <v>55</v>
      </c>
      <c r="F23" s="143">
        <f t="shared" ref="F23:F38" si="9">G23+H23</f>
        <v>105</v>
      </c>
      <c r="G23" s="292">
        <v>100</v>
      </c>
      <c r="H23" s="143">
        <v>5</v>
      </c>
      <c r="I23" s="145"/>
      <c r="J23" s="144">
        <f t="shared" ref="J23:J38" si="10">K23+L23</f>
        <v>105</v>
      </c>
      <c r="K23" s="354">
        <f>+G23</f>
        <v>100</v>
      </c>
      <c r="L23" s="354">
        <f t="shared" ref="L23:M23" si="11">+H23</f>
        <v>5</v>
      </c>
      <c r="M23" s="354">
        <f t="shared" si="11"/>
        <v>0</v>
      </c>
      <c r="N23" s="145"/>
      <c r="O23">
        <v>1</v>
      </c>
    </row>
    <row r="24" spans="1:21" ht="75">
      <c r="A24" s="141">
        <v>11</v>
      </c>
      <c r="B24" s="325" t="s">
        <v>84</v>
      </c>
      <c r="C24" s="141" t="s">
        <v>63</v>
      </c>
      <c r="D24" s="141" t="s">
        <v>85</v>
      </c>
      <c r="E24" s="141" t="s">
        <v>55</v>
      </c>
      <c r="F24" s="143">
        <f t="shared" si="9"/>
        <v>131.04</v>
      </c>
      <c r="G24" s="292">
        <v>124.8</v>
      </c>
      <c r="H24" s="143">
        <v>6.24</v>
      </c>
      <c r="I24" s="145"/>
      <c r="J24" s="144">
        <f t="shared" si="10"/>
        <v>131.04</v>
      </c>
      <c r="K24" s="354">
        <f t="shared" ref="K24:K26" si="12">+G24</f>
        <v>124.8</v>
      </c>
      <c r="L24" s="354">
        <f t="shared" ref="L24:L26" si="13">+H24</f>
        <v>6.24</v>
      </c>
      <c r="M24" s="354">
        <f t="shared" ref="M24:M26" si="14">+I24</f>
        <v>0</v>
      </c>
      <c r="N24" s="145"/>
      <c r="O24">
        <v>1</v>
      </c>
    </row>
    <row r="25" spans="1:21" ht="75">
      <c r="A25" s="141">
        <v>12</v>
      </c>
      <c r="B25" s="325" t="s">
        <v>86</v>
      </c>
      <c r="C25" s="141" t="s">
        <v>66</v>
      </c>
      <c r="D25" s="141" t="s">
        <v>87</v>
      </c>
      <c r="E25" s="141" t="s">
        <v>55</v>
      </c>
      <c r="F25" s="143">
        <f t="shared" si="9"/>
        <v>288.54000000000002</v>
      </c>
      <c r="G25" s="292">
        <v>274.8</v>
      </c>
      <c r="H25" s="143">
        <v>13.74</v>
      </c>
      <c r="I25" s="145">
        <v>0</v>
      </c>
      <c r="J25" s="144">
        <f t="shared" si="10"/>
        <v>288.54000000000002</v>
      </c>
      <c r="K25" s="354">
        <f t="shared" si="12"/>
        <v>274.8</v>
      </c>
      <c r="L25" s="354">
        <f t="shared" si="13"/>
        <v>13.74</v>
      </c>
      <c r="M25" s="354">
        <f t="shared" si="14"/>
        <v>0</v>
      </c>
      <c r="N25" s="145"/>
      <c r="O25">
        <v>1</v>
      </c>
    </row>
    <row r="26" spans="1:21" ht="75">
      <c r="A26" s="141">
        <v>13</v>
      </c>
      <c r="B26" s="325" t="s">
        <v>88</v>
      </c>
      <c r="C26" s="141" t="s">
        <v>69</v>
      </c>
      <c r="D26" s="141" t="s">
        <v>89</v>
      </c>
      <c r="E26" s="141" t="s">
        <v>55</v>
      </c>
      <c r="F26" s="143">
        <f t="shared" si="9"/>
        <v>288.54000000000002</v>
      </c>
      <c r="G26" s="292">
        <v>274.8</v>
      </c>
      <c r="H26" s="143">
        <v>13.74</v>
      </c>
      <c r="I26" s="145"/>
      <c r="J26" s="144">
        <f t="shared" si="10"/>
        <v>288.54000000000002</v>
      </c>
      <c r="K26" s="354">
        <f t="shared" si="12"/>
        <v>274.8</v>
      </c>
      <c r="L26" s="354">
        <f t="shared" si="13"/>
        <v>13.74</v>
      </c>
      <c r="M26" s="354">
        <f t="shared" si="14"/>
        <v>0</v>
      </c>
      <c r="N26" s="145"/>
      <c r="O26">
        <v>1</v>
      </c>
    </row>
    <row r="27" spans="1:21">
      <c r="A27" s="6" t="s">
        <v>90</v>
      </c>
      <c r="B27" s="326" t="s">
        <v>91</v>
      </c>
      <c r="C27" s="6"/>
      <c r="D27" s="23">
        <v>0</v>
      </c>
      <c r="E27" s="23"/>
      <c r="F27" s="345">
        <f t="shared" ref="F27:M27" si="15">SUM(F28:F29)</f>
        <v>2625</v>
      </c>
      <c r="G27" s="346">
        <f t="shared" si="15"/>
        <v>2500</v>
      </c>
      <c r="H27" s="345">
        <f t="shared" si="15"/>
        <v>125</v>
      </c>
      <c r="I27" s="345">
        <f t="shared" si="15"/>
        <v>0</v>
      </c>
      <c r="J27" s="345">
        <f t="shared" si="15"/>
        <v>2625</v>
      </c>
      <c r="K27" s="345">
        <f t="shared" si="15"/>
        <v>2500</v>
      </c>
      <c r="L27" s="345">
        <f t="shared" si="15"/>
        <v>125</v>
      </c>
      <c r="M27" s="345">
        <f t="shared" si="15"/>
        <v>0</v>
      </c>
      <c r="N27" s="16"/>
    </row>
    <row r="28" spans="1:21" ht="60">
      <c r="A28" s="141">
        <v>12</v>
      </c>
      <c r="B28" s="325" t="s">
        <v>112</v>
      </c>
      <c r="C28" s="141" t="s">
        <v>106</v>
      </c>
      <c r="D28" s="141" t="s">
        <v>113</v>
      </c>
      <c r="E28" s="141" t="s">
        <v>55</v>
      </c>
      <c r="F28" s="143">
        <f t="shared" si="9"/>
        <v>1785</v>
      </c>
      <c r="G28" s="292">
        <v>1700</v>
      </c>
      <c r="H28" s="143">
        <v>85</v>
      </c>
      <c r="I28" s="145">
        <v>0</v>
      </c>
      <c r="J28" s="144">
        <f t="shared" si="10"/>
        <v>1785</v>
      </c>
      <c r="K28" s="354">
        <f>+G28</f>
        <v>1700</v>
      </c>
      <c r="L28" s="354">
        <f t="shared" ref="L28:M28" si="16">+H28</f>
        <v>85</v>
      </c>
      <c r="M28" s="354">
        <f t="shared" si="16"/>
        <v>0</v>
      </c>
      <c r="N28" s="145"/>
      <c r="O28">
        <v>1</v>
      </c>
    </row>
    <row r="29" spans="1:21" ht="60">
      <c r="A29" s="141">
        <v>13</v>
      </c>
      <c r="B29" s="325" t="s">
        <v>114</v>
      </c>
      <c r="C29" s="141" t="s">
        <v>115</v>
      </c>
      <c r="D29" s="141" t="s">
        <v>116</v>
      </c>
      <c r="E29" s="141" t="s">
        <v>55</v>
      </c>
      <c r="F29" s="143">
        <f t="shared" si="9"/>
        <v>840</v>
      </c>
      <c r="G29" s="292">
        <v>800</v>
      </c>
      <c r="H29" s="143">
        <v>40</v>
      </c>
      <c r="I29" s="145">
        <v>0</v>
      </c>
      <c r="J29" s="144">
        <f t="shared" si="10"/>
        <v>840</v>
      </c>
      <c r="K29" s="354">
        <f>+G29</f>
        <v>800</v>
      </c>
      <c r="L29" s="354">
        <f t="shared" ref="L29" si="17">+H29</f>
        <v>40</v>
      </c>
      <c r="M29" s="354">
        <f t="shared" ref="M29" si="18">+I29</f>
        <v>0</v>
      </c>
      <c r="N29" s="145"/>
      <c r="O29">
        <v>1</v>
      </c>
    </row>
    <row r="30" spans="1:21">
      <c r="A30" s="6" t="s">
        <v>117</v>
      </c>
      <c r="B30" s="326" t="s">
        <v>118</v>
      </c>
      <c r="C30" s="6"/>
      <c r="D30" s="23">
        <v>0</v>
      </c>
      <c r="E30" s="23"/>
      <c r="F30" s="345">
        <f t="shared" ref="F30:M30" si="19">SUM(F31:F32)</f>
        <v>2256.2399999999998</v>
      </c>
      <c r="G30" s="346">
        <f t="shared" si="19"/>
        <v>2148.8000000000002</v>
      </c>
      <c r="H30" s="345">
        <f t="shared" si="19"/>
        <v>107.44</v>
      </c>
      <c r="I30" s="345">
        <f t="shared" si="19"/>
        <v>0</v>
      </c>
      <c r="J30" s="345">
        <f t="shared" si="19"/>
        <v>2256.2399999999998</v>
      </c>
      <c r="K30" s="345">
        <f t="shared" si="19"/>
        <v>2148.8000000000002</v>
      </c>
      <c r="L30" s="345">
        <f t="shared" si="19"/>
        <v>107.44</v>
      </c>
      <c r="M30" s="345">
        <f t="shared" si="19"/>
        <v>0</v>
      </c>
      <c r="N30" s="16"/>
    </row>
    <row r="31" spans="1:21" ht="75">
      <c r="A31" s="141">
        <v>7</v>
      </c>
      <c r="B31" s="325" t="s">
        <v>133</v>
      </c>
      <c r="C31" s="141" t="s">
        <v>134</v>
      </c>
      <c r="D31" s="141" t="s">
        <v>128</v>
      </c>
      <c r="E31" s="141" t="s">
        <v>55</v>
      </c>
      <c r="F31" s="143">
        <f t="shared" si="9"/>
        <v>1626.24</v>
      </c>
      <c r="G31" s="292">
        <v>1548.8</v>
      </c>
      <c r="H31" s="143">
        <v>77.44</v>
      </c>
      <c r="I31" s="145">
        <v>0</v>
      </c>
      <c r="J31" s="144">
        <f t="shared" si="10"/>
        <v>1626.24</v>
      </c>
      <c r="K31" s="354">
        <f>+G31</f>
        <v>1548.8</v>
      </c>
      <c r="L31" s="354">
        <f t="shared" ref="L31:M31" si="20">+H31</f>
        <v>77.44</v>
      </c>
      <c r="M31" s="354">
        <f t="shared" si="20"/>
        <v>0</v>
      </c>
      <c r="N31" s="145"/>
      <c r="O31">
        <v>1</v>
      </c>
    </row>
    <row r="32" spans="1:21" ht="30">
      <c r="A32" s="141">
        <v>8</v>
      </c>
      <c r="B32" s="325" t="s">
        <v>135</v>
      </c>
      <c r="C32" s="141" t="s">
        <v>134</v>
      </c>
      <c r="D32" s="141" t="s">
        <v>136</v>
      </c>
      <c r="E32" s="141" t="s">
        <v>55</v>
      </c>
      <c r="F32" s="143">
        <f t="shared" si="9"/>
        <v>630</v>
      </c>
      <c r="G32" s="292">
        <v>600</v>
      </c>
      <c r="H32" s="143">
        <v>30</v>
      </c>
      <c r="I32" s="145">
        <v>0</v>
      </c>
      <c r="J32" s="144">
        <f t="shared" si="10"/>
        <v>630</v>
      </c>
      <c r="K32" s="354">
        <f>+G32</f>
        <v>600</v>
      </c>
      <c r="L32" s="354">
        <f t="shared" ref="L32" si="21">+H32</f>
        <v>30</v>
      </c>
      <c r="M32" s="354">
        <f t="shared" ref="M32" si="22">+I32</f>
        <v>0</v>
      </c>
      <c r="N32" s="145"/>
      <c r="O32">
        <v>1</v>
      </c>
    </row>
    <row r="33" spans="1:15">
      <c r="A33" s="6" t="s">
        <v>137</v>
      </c>
      <c r="B33" s="326" t="s">
        <v>138</v>
      </c>
      <c r="C33" s="24"/>
      <c r="D33" s="23">
        <v>0</v>
      </c>
      <c r="E33" s="23"/>
      <c r="F33" s="345">
        <f t="shared" ref="F33:M33" si="23">SUM(F34:F34)</f>
        <v>506.1</v>
      </c>
      <c r="G33" s="346">
        <f t="shared" si="23"/>
        <v>482</v>
      </c>
      <c r="H33" s="345">
        <f t="shared" si="23"/>
        <v>24.1</v>
      </c>
      <c r="I33" s="345">
        <f t="shared" si="23"/>
        <v>0</v>
      </c>
      <c r="J33" s="345">
        <f t="shared" si="23"/>
        <v>506.1</v>
      </c>
      <c r="K33" s="345">
        <f t="shared" si="23"/>
        <v>482</v>
      </c>
      <c r="L33" s="345">
        <f t="shared" si="23"/>
        <v>24.1</v>
      </c>
      <c r="M33" s="345">
        <f t="shared" si="23"/>
        <v>0</v>
      </c>
      <c r="N33" s="17"/>
    </row>
    <row r="34" spans="1:15" ht="45">
      <c r="A34" s="8">
        <v>8</v>
      </c>
      <c r="B34" s="328" t="s">
        <v>146</v>
      </c>
      <c r="C34" s="8" t="s">
        <v>145</v>
      </c>
      <c r="D34" s="22" t="s">
        <v>142</v>
      </c>
      <c r="E34" s="8" t="s">
        <v>55</v>
      </c>
      <c r="F34" s="130">
        <f t="shared" si="9"/>
        <v>506.1</v>
      </c>
      <c r="G34" s="289">
        <v>482</v>
      </c>
      <c r="H34" s="278">
        <v>24.1</v>
      </c>
      <c r="I34" s="15">
        <v>0</v>
      </c>
      <c r="J34" s="133">
        <f t="shared" si="10"/>
        <v>506.1</v>
      </c>
      <c r="K34" s="355">
        <f>+G34</f>
        <v>482</v>
      </c>
      <c r="L34" s="355">
        <f t="shared" ref="L34:M34" si="24">+H34</f>
        <v>24.1</v>
      </c>
      <c r="M34" s="355">
        <f t="shared" si="24"/>
        <v>0</v>
      </c>
      <c r="N34" s="15"/>
      <c r="O34">
        <v>1</v>
      </c>
    </row>
    <row r="35" spans="1:15">
      <c r="A35" s="6" t="s">
        <v>147</v>
      </c>
      <c r="B35" s="326" t="s">
        <v>148</v>
      </c>
      <c r="C35" s="24"/>
      <c r="D35" s="23">
        <v>0</v>
      </c>
      <c r="E35" s="23"/>
      <c r="F35" s="345">
        <f t="shared" ref="F35:M35" si="25">SUM(F36:F38)</f>
        <v>2733.8</v>
      </c>
      <c r="G35" s="346">
        <f t="shared" si="25"/>
        <v>2606.8000000000002</v>
      </c>
      <c r="H35" s="345">
        <f t="shared" si="25"/>
        <v>127</v>
      </c>
      <c r="I35" s="345">
        <f t="shared" si="25"/>
        <v>0</v>
      </c>
      <c r="J35" s="345">
        <f t="shared" si="25"/>
        <v>2733.8</v>
      </c>
      <c r="K35" s="345">
        <f t="shared" si="25"/>
        <v>2606.8000000000002</v>
      </c>
      <c r="L35" s="345">
        <f t="shared" si="25"/>
        <v>127</v>
      </c>
      <c r="M35" s="345">
        <f t="shared" si="25"/>
        <v>0</v>
      </c>
      <c r="N35" s="16"/>
    </row>
    <row r="36" spans="1:15" ht="30">
      <c r="A36" s="21">
        <v>12</v>
      </c>
      <c r="B36" s="329" t="s">
        <v>179</v>
      </c>
      <c r="C36" s="21" t="s">
        <v>58</v>
      </c>
      <c r="D36" s="21" t="s">
        <v>180</v>
      </c>
      <c r="E36" s="21" t="s">
        <v>55</v>
      </c>
      <c r="F36" s="130">
        <f t="shared" si="9"/>
        <v>996</v>
      </c>
      <c r="G36" s="289">
        <v>950</v>
      </c>
      <c r="H36" s="130">
        <v>46</v>
      </c>
      <c r="I36" s="15">
        <v>0</v>
      </c>
      <c r="J36" s="133">
        <f t="shared" si="10"/>
        <v>996</v>
      </c>
      <c r="K36" s="355">
        <f>+G36</f>
        <v>950</v>
      </c>
      <c r="L36" s="355">
        <f t="shared" ref="L36:M36" si="26">+H36</f>
        <v>46</v>
      </c>
      <c r="M36" s="355">
        <f t="shared" si="26"/>
        <v>0</v>
      </c>
      <c r="N36" s="15"/>
      <c r="O36">
        <v>1</v>
      </c>
    </row>
    <row r="37" spans="1:15" ht="75">
      <c r="A37" s="21">
        <v>13</v>
      </c>
      <c r="B37" s="329" t="s">
        <v>181</v>
      </c>
      <c r="C37" s="21" t="s">
        <v>182</v>
      </c>
      <c r="D37" s="21" t="s">
        <v>151</v>
      </c>
      <c r="E37" s="21" t="s">
        <v>55</v>
      </c>
      <c r="F37" s="130">
        <f t="shared" si="9"/>
        <v>996</v>
      </c>
      <c r="G37" s="289">
        <v>950</v>
      </c>
      <c r="H37" s="130">
        <v>46</v>
      </c>
      <c r="I37" s="15">
        <v>0</v>
      </c>
      <c r="J37" s="133">
        <f t="shared" si="10"/>
        <v>996</v>
      </c>
      <c r="K37" s="355">
        <f t="shared" ref="K37:K38" si="27">+G37</f>
        <v>950</v>
      </c>
      <c r="L37" s="355">
        <f t="shared" ref="L37:L38" si="28">+H37</f>
        <v>46</v>
      </c>
      <c r="M37" s="355">
        <f t="shared" ref="M37:M38" si="29">+I37</f>
        <v>0</v>
      </c>
      <c r="N37" s="15"/>
      <c r="O37">
        <v>1</v>
      </c>
    </row>
    <row r="38" spans="1:15" ht="75">
      <c r="A38" s="21">
        <v>14</v>
      </c>
      <c r="B38" s="329" t="s">
        <v>183</v>
      </c>
      <c r="C38" s="21" t="s">
        <v>184</v>
      </c>
      <c r="D38" s="21" t="s">
        <v>151</v>
      </c>
      <c r="E38" s="21" t="s">
        <v>55</v>
      </c>
      <c r="F38" s="130">
        <f t="shared" si="9"/>
        <v>741.8</v>
      </c>
      <c r="G38" s="289">
        <v>706.8</v>
      </c>
      <c r="H38" s="130">
        <v>35</v>
      </c>
      <c r="I38" s="15">
        <v>0</v>
      </c>
      <c r="J38" s="133">
        <f t="shared" si="10"/>
        <v>741.8</v>
      </c>
      <c r="K38" s="355">
        <f t="shared" si="27"/>
        <v>706.8</v>
      </c>
      <c r="L38" s="355">
        <f t="shared" si="28"/>
        <v>35</v>
      </c>
      <c r="M38" s="355">
        <f t="shared" si="29"/>
        <v>0</v>
      </c>
      <c r="N38" s="15"/>
      <c r="O38">
        <v>1</v>
      </c>
    </row>
    <row r="39" spans="1:15">
      <c r="A39" s="6" t="s">
        <v>185</v>
      </c>
      <c r="B39" s="326" t="s">
        <v>186</v>
      </c>
      <c r="C39" s="24"/>
      <c r="D39" s="23">
        <v>0</v>
      </c>
      <c r="E39" s="23"/>
      <c r="F39" s="345">
        <f t="shared" ref="F39:M39" si="30">SUM(F40:F42)</f>
        <v>2618.3900000000003</v>
      </c>
      <c r="G39" s="346">
        <f t="shared" si="30"/>
        <v>2493.6999999999998</v>
      </c>
      <c r="H39" s="345">
        <f t="shared" si="30"/>
        <v>124.69</v>
      </c>
      <c r="I39" s="345">
        <f t="shared" si="30"/>
        <v>0</v>
      </c>
      <c r="J39" s="345">
        <f t="shared" si="30"/>
        <v>2618.3900000000003</v>
      </c>
      <c r="K39" s="345">
        <f t="shared" si="30"/>
        <v>2493.6999999999998</v>
      </c>
      <c r="L39" s="345">
        <f t="shared" si="30"/>
        <v>124.69</v>
      </c>
      <c r="M39" s="345">
        <f t="shared" si="30"/>
        <v>0</v>
      </c>
      <c r="N39" s="16"/>
    </row>
    <row r="40" spans="1:15" ht="45">
      <c r="A40" s="141">
        <v>13</v>
      </c>
      <c r="B40" s="331" t="s">
        <v>217</v>
      </c>
      <c r="C40" s="147" t="s">
        <v>218</v>
      </c>
      <c r="D40" s="150" t="s">
        <v>219</v>
      </c>
      <c r="E40" s="151" t="s">
        <v>55</v>
      </c>
      <c r="F40" s="143">
        <f t="shared" ref="F40:F56" si="31">G40+H40</f>
        <v>630</v>
      </c>
      <c r="G40" s="292">
        <v>600</v>
      </c>
      <c r="H40" s="143">
        <v>30</v>
      </c>
      <c r="I40" s="145"/>
      <c r="J40" s="144">
        <f t="shared" ref="J40:J56" si="32">K40+L40</f>
        <v>630</v>
      </c>
      <c r="K40" s="354">
        <f>+G40</f>
        <v>600</v>
      </c>
      <c r="L40" s="354">
        <f t="shared" ref="L40:M40" si="33">+H40</f>
        <v>30</v>
      </c>
      <c r="M40" s="354">
        <f t="shared" si="33"/>
        <v>0</v>
      </c>
      <c r="N40" s="141" t="s">
        <v>197</v>
      </c>
      <c r="O40">
        <v>1</v>
      </c>
    </row>
    <row r="41" spans="1:15" ht="75">
      <c r="A41" s="141">
        <v>14</v>
      </c>
      <c r="B41" s="330" t="s">
        <v>220</v>
      </c>
      <c r="C41" s="141" t="s">
        <v>202</v>
      </c>
      <c r="D41" s="150" t="s">
        <v>221</v>
      </c>
      <c r="E41" s="151" t="s">
        <v>55</v>
      </c>
      <c r="F41" s="143">
        <f t="shared" si="31"/>
        <v>1489.64</v>
      </c>
      <c r="G41" s="292">
        <v>1418.7</v>
      </c>
      <c r="H41" s="143">
        <v>70.94</v>
      </c>
      <c r="I41" s="145"/>
      <c r="J41" s="144">
        <f t="shared" si="32"/>
        <v>1489.64</v>
      </c>
      <c r="K41" s="354">
        <f t="shared" ref="K41:K42" si="34">+G41</f>
        <v>1418.7</v>
      </c>
      <c r="L41" s="354">
        <f t="shared" ref="L41:L42" si="35">+H41</f>
        <v>70.94</v>
      </c>
      <c r="M41" s="354">
        <f t="shared" ref="M41:M42" si="36">+I41</f>
        <v>0</v>
      </c>
      <c r="N41" s="141" t="s">
        <v>197</v>
      </c>
      <c r="O41">
        <v>1</v>
      </c>
    </row>
    <row r="42" spans="1:15" ht="45">
      <c r="A42" s="8">
        <v>15</v>
      </c>
      <c r="B42" s="360" t="s">
        <v>802</v>
      </c>
      <c r="C42" s="8" t="s">
        <v>803</v>
      </c>
      <c r="D42" s="22" t="s">
        <v>804</v>
      </c>
      <c r="E42" s="21" t="s">
        <v>55</v>
      </c>
      <c r="F42" s="130">
        <f t="shared" si="31"/>
        <v>498.75</v>
      </c>
      <c r="G42" s="289">
        <v>475</v>
      </c>
      <c r="H42" s="130">
        <f>G42*5%</f>
        <v>23.75</v>
      </c>
      <c r="I42" s="15"/>
      <c r="J42" s="133">
        <f t="shared" si="32"/>
        <v>498.75</v>
      </c>
      <c r="K42" s="354">
        <f t="shared" si="34"/>
        <v>475</v>
      </c>
      <c r="L42" s="354">
        <f t="shared" si="35"/>
        <v>23.75</v>
      </c>
      <c r="M42" s="354">
        <f t="shared" si="36"/>
        <v>0</v>
      </c>
      <c r="N42" s="8" t="s">
        <v>197</v>
      </c>
      <c r="O42">
        <v>1</v>
      </c>
    </row>
    <row r="43" spans="1:15">
      <c r="A43" s="6" t="s">
        <v>222</v>
      </c>
      <c r="B43" s="332" t="s">
        <v>223</v>
      </c>
      <c r="C43" s="24"/>
      <c r="D43" s="23">
        <v>0</v>
      </c>
      <c r="E43" s="23"/>
      <c r="F43" s="345">
        <f t="shared" ref="F43:M43" si="37">SUM(F44:F45)</f>
        <v>489.6</v>
      </c>
      <c r="G43" s="346">
        <f t="shared" si="37"/>
        <v>465.6</v>
      </c>
      <c r="H43" s="345">
        <f t="shared" si="37"/>
        <v>24</v>
      </c>
      <c r="I43" s="345">
        <f t="shared" si="37"/>
        <v>0</v>
      </c>
      <c r="J43" s="345">
        <f t="shared" si="37"/>
        <v>489.6</v>
      </c>
      <c r="K43" s="345">
        <f t="shared" si="37"/>
        <v>465.6</v>
      </c>
      <c r="L43" s="345">
        <f t="shared" si="37"/>
        <v>24</v>
      </c>
      <c r="M43" s="345">
        <f t="shared" si="37"/>
        <v>0</v>
      </c>
      <c r="N43" s="16"/>
    </row>
    <row r="44" spans="1:15" ht="75">
      <c r="A44" s="141">
        <v>11</v>
      </c>
      <c r="B44" s="325" t="s">
        <v>243</v>
      </c>
      <c r="C44" s="141" t="s">
        <v>231</v>
      </c>
      <c r="D44" s="141" t="s">
        <v>159</v>
      </c>
      <c r="E44" s="141" t="s">
        <v>55</v>
      </c>
      <c r="F44" s="143">
        <f t="shared" si="31"/>
        <v>244.8</v>
      </c>
      <c r="G44" s="292">
        <v>232.8</v>
      </c>
      <c r="H44" s="143">
        <v>12</v>
      </c>
      <c r="I44" s="145"/>
      <c r="J44" s="144">
        <f t="shared" si="32"/>
        <v>244.8</v>
      </c>
      <c r="K44" s="354">
        <f>+G44</f>
        <v>232.8</v>
      </c>
      <c r="L44" s="354">
        <f t="shared" ref="L44:M44" si="38">+H44</f>
        <v>12</v>
      </c>
      <c r="M44" s="354">
        <f t="shared" si="38"/>
        <v>0</v>
      </c>
      <c r="N44" s="145"/>
      <c r="O44">
        <v>1</v>
      </c>
    </row>
    <row r="45" spans="1:15" ht="75">
      <c r="A45" s="141">
        <v>12</v>
      </c>
      <c r="B45" s="325" t="s">
        <v>244</v>
      </c>
      <c r="C45" s="141" t="s">
        <v>228</v>
      </c>
      <c r="D45" s="141" t="s">
        <v>159</v>
      </c>
      <c r="E45" s="141" t="s">
        <v>55</v>
      </c>
      <c r="F45" s="143">
        <f t="shared" si="31"/>
        <v>244.8</v>
      </c>
      <c r="G45" s="292">
        <v>232.8</v>
      </c>
      <c r="H45" s="143">
        <v>12</v>
      </c>
      <c r="I45" s="145"/>
      <c r="J45" s="144">
        <f t="shared" si="32"/>
        <v>244.8</v>
      </c>
      <c r="K45" s="354">
        <f>+G45</f>
        <v>232.8</v>
      </c>
      <c r="L45" s="354">
        <f t="shared" ref="L45" si="39">+H45</f>
        <v>12</v>
      </c>
      <c r="M45" s="354">
        <f t="shared" ref="M45" si="40">+I45</f>
        <v>0</v>
      </c>
      <c r="N45" s="145"/>
      <c r="O45">
        <v>1</v>
      </c>
    </row>
    <row r="46" spans="1:15">
      <c r="A46" s="152" t="s">
        <v>245</v>
      </c>
      <c r="B46" s="333" t="s">
        <v>246</v>
      </c>
      <c r="C46" s="153"/>
      <c r="D46" s="154">
        <v>0</v>
      </c>
      <c r="E46" s="154"/>
      <c r="F46" s="356">
        <f t="shared" ref="F46:M46" si="41">SUM(F47:F49)</f>
        <v>2245.12</v>
      </c>
      <c r="G46" s="364">
        <f t="shared" si="41"/>
        <v>2138.21</v>
      </c>
      <c r="H46" s="356">
        <f t="shared" si="41"/>
        <v>106.91</v>
      </c>
      <c r="I46" s="356">
        <f t="shared" si="41"/>
        <v>0</v>
      </c>
      <c r="J46" s="356">
        <f t="shared" si="41"/>
        <v>2245.12</v>
      </c>
      <c r="K46" s="356">
        <f t="shared" si="41"/>
        <v>2138.21</v>
      </c>
      <c r="L46" s="356">
        <f t="shared" si="41"/>
        <v>106.91</v>
      </c>
      <c r="M46" s="356">
        <f t="shared" si="41"/>
        <v>0</v>
      </c>
      <c r="N46" s="155"/>
    </row>
    <row r="47" spans="1:15" ht="30">
      <c r="A47" s="141">
        <v>14</v>
      </c>
      <c r="B47" s="325" t="s">
        <v>267</v>
      </c>
      <c r="C47" s="141" t="s">
        <v>268</v>
      </c>
      <c r="D47" s="141" t="s">
        <v>269</v>
      </c>
      <c r="E47" s="141" t="s">
        <v>55</v>
      </c>
      <c r="F47" s="143">
        <f t="shared" si="31"/>
        <v>577.5</v>
      </c>
      <c r="G47" s="292">
        <v>550</v>
      </c>
      <c r="H47" s="143">
        <v>27.5</v>
      </c>
      <c r="I47" s="145"/>
      <c r="J47" s="144">
        <f t="shared" si="32"/>
        <v>577.5</v>
      </c>
      <c r="K47" s="354">
        <f>+G47</f>
        <v>550</v>
      </c>
      <c r="L47" s="354">
        <f t="shared" ref="L47:M47" si="42">+H47</f>
        <v>27.5</v>
      </c>
      <c r="M47" s="354">
        <f t="shared" si="42"/>
        <v>0</v>
      </c>
      <c r="N47" s="145"/>
    </row>
    <row r="48" spans="1:15" ht="75">
      <c r="A48" s="141">
        <v>15</v>
      </c>
      <c r="B48" s="325" t="s">
        <v>270</v>
      </c>
      <c r="C48" s="141" t="s">
        <v>271</v>
      </c>
      <c r="D48" s="141" t="s">
        <v>110</v>
      </c>
      <c r="E48" s="141" t="s">
        <v>55</v>
      </c>
      <c r="F48" s="143">
        <f t="shared" si="31"/>
        <v>735</v>
      </c>
      <c r="G48" s="292">
        <v>700</v>
      </c>
      <c r="H48" s="143">
        <v>35</v>
      </c>
      <c r="I48" s="145"/>
      <c r="J48" s="144">
        <f t="shared" si="32"/>
        <v>735</v>
      </c>
      <c r="K48" s="354">
        <f t="shared" ref="K48:K49" si="43">+G48</f>
        <v>700</v>
      </c>
      <c r="L48" s="354">
        <f t="shared" ref="L48:L49" si="44">+H48</f>
        <v>35</v>
      </c>
      <c r="M48" s="354">
        <f t="shared" ref="M48:M49" si="45">+I48</f>
        <v>0</v>
      </c>
      <c r="N48" s="141" t="s">
        <v>201</v>
      </c>
      <c r="O48">
        <v>1</v>
      </c>
    </row>
    <row r="49" spans="1:15" ht="75">
      <c r="A49" s="141">
        <v>16</v>
      </c>
      <c r="B49" s="325" t="s">
        <v>272</v>
      </c>
      <c r="C49" s="141" t="s">
        <v>273</v>
      </c>
      <c r="D49" s="141" t="s">
        <v>128</v>
      </c>
      <c r="E49" s="141" t="s">
        <v>55</v>
      </c>
      <c r="F49" s="143">
        <f t="shared" si="31"/>
        <v>932.62</v>
      </c>
      <c r="G49" s="292">
        <v>888.21</v>
      </c>
      <c r="H49" s="143">
        <v>44.41</v>
      </c>
      <c r="I49" s="145"/>
      <c r="J49" s="144">
        <f t="shared" si="32"/>
        <v>932.62</v>
      </c>
      <c r="K49" s="354">
        <f t="shared" si="43"/>
        <v>888.21</v>
      </c>
      <c r="L49" s="354">
        <f t="shared" si="44"/>
        <v>44.41</v>
      </c>
      <c r="M49" s="354">
        <f t="shared" si="45"/>
        <v>0</v>
      </c>
      <c r="N49" s="141" t="s">
        <v>201</v>
      </c>
      <c r="O49">
        <v>1</v>
      </c>
    </row>
    <row r="50" spans="1:15">
      <c r="A50" s="25" t="s">
        <v>274</v>
      </c>
      <c r="B50" s="335" t="s">
        <v>275</v>
      </c>
      <c r="C50" s="26"/>
      <c r="D50" s="23">
        <v>0</v>
      </c>
      <c r="E50" s="23"/>
      <c r="F50" s="345">
        <f t="shared" ref="F50:M50" si="46">SUM(F51:F53)</f>
        <v>2519.4299999999998</v>
      </c>
      <c r="G50" s="346">
        <f t="shared" si="46"/>
        <v>2399.4299999999998</v>
      </c>
      <c r="H50" s="345">
        <f t="shared" si="46"/>
        <v>120</v>
      </c>
      <c r="I50" s="345">
        <f t="shared" si="46"/>
        <v>0</v>
      </c>
      <c r="J50" s="345">
        <f t="shared" si="46"/>
        <v>2519.4299999999998</v>
      </c>
      <c r="K50" s="345">
        <f t="shared" si="46"/>
        <v>2399.4299999999998</v>
      </c>
      <c r="L50" s="345">
        <f t="shared" si="46"/>
        <v>120</v>
      </c>
      <c r="M50" s="345">
        <f t="shared" si="46"/>
        <v>0</v>
      </c>
      <c r="N50" s="16"/>
    </row>
    <row r="51" spans="1:15" ht="75">
      <c r="A51" s="27">
        <v>12</v>
      </c>
      <c r="B51" s="336" t="s">
        <v>297</v>
      </c>
      <c r="C51" s="27" t="s">
        <v>298</v>
      </c>
      <c r="D51" s="8" t="s">
        <v>128</v>
      </c>
      <c r="E51" s="27" t="s">
        <v>55</v>
      </c>
      <c r="F51" s="130">
        <f t="shared" si="31"/>
        <v>1050</v>
      </c>
      <c r="G51" s="289">
        <v>1000</v>
      </c>
      <c r="H51" s="130">
        <v>50</v>
      </c>
      <c r="I51" s="15">
        <v>0</v>
      </c>
      <c r="J51" s="133">
        <f t="shared" si="32"/>
        <v>1050</v>
      </c>
      <c r="K51" s="355">
        <f>+G51</f>
        <v>1000</v>
      </c>
      <c r="L51" s="355">
        <f t="shared" ref="L51:M51" si="47">+H51</f>
        <v>50</v>
      </c>
      <c r="M51" s="355">
        <f t="shared" si="47"/>
        <v>0</v>
      </c>
      <c r="N51" s="15"/>
      <c r="O51">
        <v>1</v>
      </c>
    </row>
    <row r="52" spans="1:15" ht="75">
      <c r="A52" s="27">
        <v>13</v>
      </c>
      <c r="B52" s="336" t="s">
        <v>299</v>
      </c>
      <c r="C52" s="27" t="s">
        <v>300</v>
      </c>
      <c r="D52" s="8" t="s">
        <v>128</v>
      </c>
      <c r="E52" s="27" t="s">
        <v>55</v>
      </c>
      <c r="F52" s="130">
        <f t="shared" si="31"/>
        <v>1050</v>
      </c>
      <c r="G52" s="289">
        <v>1000</v>
      </c>
      <c r="H52" s="130">
        <v>50</v>
      </c>
      <c r="I52" s="15">
        <v>0</v>
      </c>
      <c r="J52" s="133">
        <f t="shared" si="32"/>
        <v>1050</v>
      </c>
      <c r="K52" s="355">
        <f t="shared" ref="K52:K53" si="48">+G52</f>
        <v>1000</v>
      </c>
      <c r="L52" s="355">
        <f t="shared" ref="L52:L53" si="49">+H52</f>
        <v>50</v>
      </c>
      <c r="M52" s="355">
        <f t="shared" ref="M52:M53" si="50">+I52</f>
        <v>0</v>
      </c>
      <c r="N52" s="15"/>
      <c r="O52">
        <v>1</v>
      </c>
    </row>
    <row r="53" spans="1:15" ht="90">
      <c r="A53" s="27">
        <v>14</v>
      </c>
      <c r="B53" s="336" t="s">
        <v>301</v>
      </c>
      <c r="C53" s="27" t="s">
        <v>300</v>
      </c>
      <c r="D53" s="8" t="s">
        <v>281</v>
      </c>
      <c r="E53" s="27" t="s">
        <v>55</v>
      </c>
      <c r="F53" s="130">
        <f t="shared" si="31"/>
        <v>419.43</v>
      </c>
      <c r="G53" s="289">
        <v>399.43</v>
      </c>
      <c r="H53" s="130">
        <v>20</v>
      </c>
      <c r="I53" s="15">
        <v>0</v>
      </c>
      <c r="J53" s="133">
        <f t="shared" si="32"/>
        <v>419.43</v>
      </c>
      <c r="K53" s="355">
        <f t="shared" si="48"/>
        <v>399.43</v>
      </c>
      <c r="L53" s="355">
        <f t="shared" si="49"/>
        <v>20</v>
      </c>
      <c r="M53" s="355">
        <f t="shared" si="50"/>
        <v>0</v>
      </c>
      <c r="N53" s="15"/>
      <c r="O53">
        <v>1</v>
      </c>
    </row>
    <row r="54" spans="1:15">
      <c r="A54" s="6" t="s">
        <v>302</v>
      </c>
      <c r="B54" s="326" t="s">
        <v>303</v>
      </c>
      <c r="C54" s="24"/>
      <c r="D54" s="23">
        <v>0</v>
      </c>
      <c r="E54" s="23"/>
      <c r="F54" s="345">
        <f t="shared" ref="F54:M54" si="51">SUM(F55:F56)</f>
        <v>3033.4300000000003</v>
      </c>
      <c r="G54" s="346">
        <f t="shared" si="51"/>
        <v>2888.98</v>
      </c>
      <c r="H54" s="345">
        <f t="shared" si="51"/>
        <v>144.44999999999999</v>
      </c>
      <c r="I54" s="345">
        <f t="shared" si="51"/>
        <v>0</v>
      </c>
      <c r="J54" s="345">
        <f t="shared" si="51"/>
        <v>3033.4300000000003</v>
      </c>
      <c r="K54" s="345">
        <f t="shared" si="51"/>
        <v>2888.98</v>
      </c>
      <c r="L54" s="345">
        <f t="shared" si="51"/>
        <v>144.44999999999999</v>
      </c>
      <c r="M54" s="345">
        <f t="shared" si="51"/>
        <v>0</v>
      </c>
      <c r="N54" s="16"/>
    </row>
    <row r="55" spans="1:15" ht="120">
      <c r="A55" s="8">
        <v>8</v>
      </c>
      <c r="B55" s="328" t="s">
        <v>322</v>
      </c>
      <c r="C55" s="8" t="s">
        <v>57</v>
      </c>
      <c r="D55" s="8" t="s">
        <v>323</v>
      </c>
      <c r="E55" s="8" t="s">
        <v>55</v>
      </c>
      <c r="F55" s="130">
        <f t="shared" si="31"/>
        <v>1575</v>
      </c>
      <c r="G55" s="289">
        <v>1500</v>
      </c>
      <c r="H55" s="130">
        <v>75</v>
      </c>
      <c r="I55" s="15">
        <v>0</v>
      </c>
      <c r="J55" s="133">
        <f t="shared" si="32"/>
        <v>1575</v>
      </c>
      <c r="K55" s="355">
        <f>+G55</f>
        <v>1500</v>
      </c>
      <c r="L55" s="355">
        <f t="shared" ref="L55:M55" si="52">+H55</f>
        <v>75</v>
      </c>
      <c r="M55" s="355">
        <f t="shared" si="52"/>
        <v>0</v>
      </c>
      <c r="N55" s="15"/>
      <c r="O55">
        <v>1</v>
      </c>
    </row>
    <row r="56" spans="1:15" ht="75">
      <c r="A56" s="8">
        <v>9</v>
      </c>
      <c r="B56" s="328" t="s">
        <v>324</v>
      </c>
      <c r="C56" s="8" t="s">
        <v>325</v>
      </c>
      <c r="D56" s="8" t="s">
        <v>326</v>
      </c>
      <c r="E56" s="8" t="s">
        <v>55</v>
      </c>
      <c r="F56" s="130">
        <f t="shared" si="31"/>
        <v>1458.43</v>
      </c>
      <c r="G56" s="289">
        <v>1388.98</v>
      </c>
      <c r="H56" s="130">
        <v>69.45</v>
      </c>
      <c r="I56" s="15">
        <v>0</v>
      </c>
      <c r="J56" s="133">
        <f t="shared" si="32"/>
        <v>1458.43</v>
      </c>
      <c r="K56" s="355">
        <f>+G56</f>
        <v>1388.98</v>
      </c>
      <c r="L56" s="355">
        <f t="shared" ref="L56" si="53">+H56</f>
        <v>69.45</v>
      </c>
      <c r="M56" s="355">
        <f t="shared" ref="M56" si="54">+I56</f>
        <v>0</v>
      </c>
      <c r="N56" s="15"/>
      <c r="O56">
        <v>1</v>
      </c>
    </row>
    <row r="57" spans="1:15">
      <c r="A57" s="6" t="s">
        <v>327</v>
      </c>
      <c r="B57" s="326" t="s">
        <v>328</v>
      </c>
      <c r="C57" s="24"/>
      <c r="D57" s="23">
        <v>0</v>
      </c>
      <c r="E57" s="23"/>
      <c r="F57" s="345">
        <f t="shared" ref="F57:M57" si="55">SUM(F58:F62)</f>
        <v>2764.66</v>
      </c>
      <c r="G57" s="346">
        <f t="shared" si="55"/>
        <v>2633</v>
      </c>
      <c r="H57" s="345">
        <f t="shared" si="55"/>
        <v>131.66</v>
      </c>
      <c r="I57" s="345">
        <f t="shared" si="55"/>
        <v>0</v>
      </c>
      <c r="J57" s="345">
        <f t="shared" si="55"/>
        <v>2764.66</v>
      </c>
      <c r="K57" s="345">
        <f t="shared" si="55"/>
        <v>2633</v>
      </c>
      <c r="L57" s="345">
        <f t="shared" si="55"/>
        <v>131.66</v>
      </c>
      <c r="M57" s="345">
        <f t="shared" si="55"/>
        <v>0</v>
      </c>
      <c r="N57" s="16"/>
    </row>
    <row r="58" spans="1:15" ht="90">
      <c r="A58" s="8">
        <v>11</v>
      </c>
      <c r="B58" s="328" t="s">
        <v>351</v>
      </c>
      <c r="C58" s="8" t="s">
        <v>352</v>
      </c>
      <c r="D58" s="8" t="s">
        <v>94</v>
      </c>
      <c r="E58" s="8" t="s">
        <v>55</v>
      </c>
      <c r="F58" s="130">
        <f t="shared" ref="F58:F76" si="56">G58+H58</f>
        <v>420</v>
      </c>
      <c r="G58" s="289">
        <v>400</v>
      </c>
      <c r="H58" s="130">
        <v>20</v>
      </c>
      <c r="I58" s="15">
        <v>0</v>
      </c>
      <c r="J58" s="133">
        <f t="shared" ref="J58:J76" si="57">K58+L58</f>
        <v>420</v>
      </c>
      <c r="K58" s="355">
        <f>+G58</f>
        <v>400</v>
      </c>
      <c r="L58" s="355">
        <f t="shared" ref="L58:M58" si="58">+H58</f>
        <v>20</v>
      </c>
      <c r="M58" s="355">
        <f t="shared" si="58"/>
        <v>0</v>
      </c>
      <c r="N58" s="15"/>
      <c r="O58">
        <v>1</v>
      </c>
    </row>
    <row r="59" spans="1:15" ht="75">
      <c r="A59" s="8">
        <v>12</v>
      </c>
      <c r="B59" s="328" t="s">
        <v>353</v>
      </c>
      <c r="C59" s="8" t="s">
        <v>354</v>
      </c>
      <c r="D59" s="8" t="s">
        <v>128</v>
      </c>
      <c r="E59" s="8" t="s">
        <v>55</v>
      </c>
      <c r="F59" s="130">
        <f t="shared" si="56"/>
        <v>454.65</v>
      </c>
      <c r="G59" s="289">
        <v>433</v>
      </c>
      <c r="H59" s="130">
        <v>21.65</v>
      </c>
      <c r="I59" s="15">
        <v>0</v>
      </c>
      <c r="J59" s="133">
        <f t="shared" si="57"/>
        <v>454.65</v>
      </c>
      <c r="K59" s="355">
        <f t="shared" ref="K59:K62" si="59">+G59</f>
        <v>433</v>
      </c>
      <c r="L59" s="355">
        <f t="shared" ref="L59:L62" si="60">+H59</f>
        <v>21.65</v>
      </c>
      <c r="M59" s="355">
        <f t="shared" ref="M59:M62" si="61">+I59</f>
        <v>0</v>
      </c>
      <c r="N59" s="15"/>
      <c r="O59">
        <v>1</v>
      </c>
    </row>
    <row r="60" spans="1:15" ht="75">
      <c r="A60" s="8">
        <v>13</v>
      </c>
      <c r="B60" s="328" t="s">
        <v>355</v>
      </c>
      <c r="C60" s="8" t="s">
        <v>334</v>
      </c>
      <c r="D60" s="8" t="s">
        <v>128</v>
      </c>
      <c r="E60" s="8" t="s">
        <v>55</v>
      </c>
      <c r="F60" s="130">
        <f t="shared" si="56"/>
        <v>1050</v>
      </c>
      <c r="G60" s="289">
        <v>1000</v>
      </c>
      <c r="H60" s="130">
        <v>50</v>
      </c>
      <c r="I60" s="15"/>
      <c r="J60" s="133">
        <f t="shared" si="57"/>
        <v>1050</v>
      </c>
      <c r="K60" s="355">
        <f t="shared" si="59"/>
        <v>1000</v>
      </c>
      <c r="L60" s="355">
        <f t="shared" si="60"/>
        <v>50</v>
      </c>
      <c r="M60" s="355">
        <f t="shared" si="61"/>
        <v>0</v>
      </c>
      <c r="N60" s="15"/>
      <c r="O60">
        <v>1</v>
      </c>
    </row>
    <row r="61" spans="1:15" ht="90">
      <c r="A61" s="8">
        <v>14</v>
      </c>
      <c r="B61" s="328" t="s">
        <v>356</v>
      </c>
      <c r="C61" s="8" t="s">
        <v>330</v>
      </c>
      <c r="D61" s="8" t="s">
        <v>94</v>
      </c>
      <c r="E61" s="8" t="s">
        <v>55</v>
      </c>
      <c r="F61" s="130">
        <f t="shared" si="56"/>
        <v>420</v>
      </c>
      <c r="G61" s="289">
        <v>400</v>
      </c>
      <c r="H61" s="130">
        <v>20</v>
      </c>
      <c r="I61" s="15"/>
      <c r="J61" s="133">
        <f t="shared" si="57"/>
        <v>420</v>
      </c>
      <c r="K61" s="355">
        <f t="shared" si="59"/>
        <v>400</v>
      </c>
      <c r="L61" s="355">
        <f t="shared" si="60"/>
        <v>20</v>
      </c>
      <c r="M61" s="355">
        <f t="shared" si="61"/>
        <v>0</v>
      </c>
      <c r="N61" s="15"/>
      <c r="O61">
        <v>1</v>
      </c>
    </row>
    <row r="62" spans="1:15" ht="90">
      <c r="A62" s="8">
        <v>15</v>
      </c>
      <c r="B62" s="328" t="s">
        <v>357</v>
      </c>
      <c r="C62" s="8" t="s">
        <v>332</v>
      </c>
      <c r="D62" s="8" t="s">
        <v>94</v>
      </c>
      <c r="E62" s="8" t="s">
        <v>55</v>
      </c>
      <c r="F62" s="130">
        <f t="shared" si="56"/>
        <v>420.01</v>
      </c>
      <c r="G62" s="289">
        <v>400</v>
      </c>
      <c r="H62" s="130">
        <v>20.010000000000002</v>
      </c>
      <c r="I62" s="15"/>
      <c r="J62" s="133">
        <f t="shared" si="57"/>
        <v>420.01</v>
      </c>
      <c r="K62" s="355">
        <f t="shared" si="59"/>
        <v>400</v>
      </c>
      <c r="L62" s="355">
        <f t="shared" si="60"/>
        <v>20.010000000000002</v>
      </c>
      <c r="M62" s="355">
        <f t="shared" si="61"/>
        <v>0</v>
      </c>
      <c r="N62" s="15"/>
      <c r="O62">
        <v>1</v>
      </c>
    </row>
    <row r="63" spans="1:15">
      <c r="A63" s="6" t="s">
        <v>358</v>
      </c>
      <c r="B63" s="326" t="s">
        <v>359</v>
      </c>
      <c r="C63" s="24"/>
      <c r="D63" s="23">
        <v>0</v>
      </c>
      <c r="E63" s="23"/>
      <c r="F63" s="345">
        <f t="shared" ref="F63:M63" si="62">SUM(F64:F66)</f>
        <v>2023.8899999999999</v>
      </c>
      <c r="G63" s="346">
        <f t="shared" si="62"/>
        <v>1926.8899999999999</v>
      </c>
      <c r="H63" s="345">
        <f t="shared" si="62"/>
        <v>97</v>
      </c>
      <c r="I63" s="345">
        <f t="shared" si="62"/>
        <v>0</v>
      </c>
      <c r="J63" s="345">
        <f t="shared" si="62"/>
        <v>2023.8899999999999</v>
      </c>
      <c r="K63" s="345">
        <f t="shared" si="62"/>
        <v>1926.8899999999999</v>
      </c>
      <c r="L63" s="345">
        <f t="shared" si="62"/>
        <v>97</v>
      </c>
      <c r="M63" s="345">
        <f t="shared" si="62"/>
        <v>0</v>
      </c>
      <c r="N63" s="16"/>
    </row>
    <row r="64" spans="1:15" ht="60">
      <c r="A64" s="8">
        <v>12</v>
      </c>
      <c r="B64" s="328" t="s">
        <v>386</v>
      </c>
      <c r="C64" s="8" t="s">
        <v>384</v>
      </c>
      <c r="D64" s="8" t="s">
        <v>387</v>
      </c>
      <c r="E64" s="27" t="s">
        <v>55</v>
      </c>
      <c r="F64" s="130">
        <f t="shared" si="56"/>
        <v>414.89</v>
      </c>
      <c r="G64" s="289">
        <v>394.89</v>
      </c>
      <c r="H64" s="130">
        <v>20</v>
      </c>
      <c r="I64" s="15">
        <v>0</v>
      </c>
      <c r="J64" s="133">
        <f t="shared" si="57"/>
        <v>414.89</v>
      </c>
      <c r="K64" s="355">
        <f>+G64</f>
        <v>394.89</v>
      </c>
      <c r="L64" s="355">
        <f t="shared" ref="L64:M64" si="63">+H64</f>
        <v>20</v>
      </c>
      <c r="M64" s="355">
        <f t="shared" si="63"/>
        <v>0</v>
      </c>
      <c r="N64" s="15"/>
      <c r="O64">
        <v>1</v>
      </c>
    </row>
    <row r="65" spans="1:15" ht="60">
      <c r="A65" s="8">
        <v>13</v>
      </c>
      <c r="B65" s="328" t="s">
        <v>388</v>
      </c>
      <c r="C65" s="8" t="s">
        <v>379</v>
      </c>
      <c r="D65" s="8" t="s">
        <v>389</v>
      </c>
      <c r="E65" s="27" t="s">
        <v>55</v>
      </c>
      <c r="F65" s="130">
        <f t="shared" si="56"/>
        <v>559</v>
      </c>
      <c r="G65" s="289">
        <v>532</v>
      </c>
      <c r="H65" s="130">
        <v>27</v>
      </c>
      <c r="I65" s="15">
        <v>0</v>
      </c>
      <c r="J65" s="133">
        <f t="shared" si="57"/>
        <v>559</v>
      </c>
      <c r="K65" s="355">
        <f t="shared" ref="K65:K66" si="64">+G65</f>
        <v>532</v>
      </c>
      <c r="L65" s="355">
        <f t="shared" ref="L65:L66" si="65">+H65</f>
        <v>27</v>
      </c>
      <c r="M65" s="355">
        <f t="shared" ref="M65:M66" si="66">+I65</f>
        <v>0</v>
      </c>
      <c r="N65" s="15"/>
      <c r="O65">
        <v>1</v>
      </c>
    </row>
    <row r="66" spans="1:15" ht="60">
      <c r="A66" s="8">
        <v>14</v>
      </c>
      <c r="B66" s="328" t="s">
        <v>390</v>
      </c>
      <c r="C66" s="8" t="s">
        <v>384</v>
      </c>
      <c r="D66" s="8" t="s">
        <v>391</v>
      </c>
      <c r="E66" s="27" t="s">
        <v>55</v>
      </c>
      <c r="F66" s="130">
        <f t="shared" si="56"/>
        <v>1050</v>
      </c>
      <c r="G66" s="289">
        <v>1000</v>
      </c>
      <c r="H66" s="130">
        <v>50</v>
      </c>
      <c r="I66" s="15">
        <v>0</v>
      </c>
      <c r="J66" s="133">
        <f t="shared" si="57"/>
        <v>1050</v>
      </c>
      <c r="K66" s="355">
        <f t="shared" si="64"/>
        <v>1000</v>
      </c>
      <c r="L66" s="355">
        <f t="shared" si="65"/>
        <v>50</v>
      </c>
      <c r="M66" s="355">
        <f t="shared" si="66"/>
        <v>0</v>
      </c>
      <c r="N66" s="15"/>
      <c r="O66">
        <v>1</v>
      </c>
    </row>
    <row r="67" spans="1:15">
      <c r="A67" s="6" t="s">
        <v>392</v>
      </c>
      <c r="B67" s="326" t="s">
        <v>393</v>
      </c>
      <c r="C67" s="24"/>
      <c r="D67" s="23">
        <v>0</v>
      </c>
      <c r="E67" s="23"/>
      <c r="F67" s="345">
        <f t="shared" ref="F67:M67" si="67">SUM(F68:F74)</f>
        <v>2451.9499999999998</v>
      </c>
      <c r="G67" s="346">
        <f t="shared" si="67"/>
        <v>2333.9499999999998</v>
      </c>
      <c r="H67" s="345">
        <f t="shared" si="67"/>
        <v>118</v>
      </c>
      <c r="I67" s="345">
        <f t="shared" si="67"/>
        <v>0</v>
      </c>
      <c r="J67" s="345">
        <f t="shared" si="67"/>
        <v>2451.9499999999998</v>
      </c>
      <c r="K67" s="345">
        <f t="shared" si="67"/>
        <v>2333.9499999999998</v>
      </c>
      <c r="L67" s="345">
        <f t="shared" si="67"/>
        <v>118</v>
      </c>
      <c r="M67" s="345">
        <f t="shared" si="67"/>
        <v>0</v>
      </c>
      <c r="N67" s="16"/>
    </row>
    <row r="68" spans="1:15" ht="90">
      <c r="A68" s="141">
        <v>13</v>
      </c>
      <c r="B68" s="337" t="s">
        <v>423</v>
      </c>
      <c r="C68" s="157" t="s">
        <v>406</v>
      </c>
      <c r="D68" s="141" t="s">
        <v>94</v>
      </c>
      <c r="E68" s="158" t="s">
        <v>55</v>
      </c>
      <c r="F68" s="143">
        <f t="shared" si="56"/>
        <v>251</v>
      </c>
      <c r="G68" s="292">
        <v>239</v>
      </c>
      <c r="H68" s="143">
        <v>12</v>
      </c>
      <c r="I68" s="145">
        <v>0</v>
      </c>
      <c r="J68" s="144">
        <f t="shared" si="57"/>
        <v>251</v>
      </c>
      <c r="K68" s="354">
        <f>+G68</f>
        <v>239</v>
      </c>
      <c r="L68" s="354">
        <f t="shared" ref="L68:M68" si="68">+H68</f>
        <v>12</v>
      </c>
      <c r="M68" s="354">
        <f t="shared" si="68"/>
        <v>0</v>
      </c>
      <c r="N68" s="145"/>
      <c r="O68">
        <v>1</v>
      </c>
    </row>
    <row r="69" spans="1:15" ht="75">
      <c r="A69" s="141">
        <v>14</v>
      </c>
      <c r="B69" s="337" t="s">
        <v>424</v>
      </c>
      <c r="C69" s="157" t="s">
        <v>419</v>
      </c>
      <c r="D69" s="150" t="s">
        <v>413</v>
      </c>
      <c r="E69" s="158" t="s">
        <v>55</v>
      </c>
      <c r="F69" s="143">
        <f t="shared" si="56"/>
        <v>299</v>
      </c>
      <c r="G69" s="292">
        <v>285</v>
      </c>
      <c r="H69" s="143">
        <v>14</v>
      </c>
      <c r="I69" s="145">
        <v>0</v>
      </c>
      <c r="J69" s="144">
        <f t="shared" si="57"/>
        <v>299</v>
      </c>
      <c r="K69" s="354">
        <f t="shared" ref="K69:K74" si="69">+G69</f>
        <v>285</v>
      </c>
      <c r="L69" s="354">
        <f t="shared" ref="L69:L74" si="70">+H69</f>
        <v>14</v>
      </c>
      <c r="M69" s="354">
        <f t="shared" ref="M69:M74" si="71">+I69</f>
        <v>0</v>
      </c>
      <c r="N69" s="145"/>
      <c r="O69">
        <v>1</v>
      </c>
    </row>
    <row r="70" spans="1:15" ht="75">
      <c r="A70" s="141">
        <v>15</v>
      </c>
      <c r="B70" s="337" t="s">
        <v>425</v>
      </c>
      <c r="C70" s="157" t="s">
        <v>426</v>
      </c>
      <c r="D70" s="141" t="s">
        <v>427</v>
      </c>
      <c r="E70" s="158" t="s">
        <v>55</v>
      </c>
      <c r="F70" s="143">
        <f t="shared" si="56"/>
        <v>200</v>
      </c>
      <c r="G70" s="292">
        <v>190</v>
      </c>
      <c r="H70" s="143">
        <v>10</v>
      </c>
      <c r="I70" s="145">
        <v>0</v>
      </c>
      <c r="J70" s="144">
        <f t="shared" si="57"/>
        <v>200</v>
      </c>
      <c r="K70" s="354">
        <f t="shared" si="69"/>
        <v>190</v>
      </c>
      <c r="L70" s="354">
        <f t="shared" si="70"/>
        <v>10</v>
      </c>
      <c r="M70" s="354">
        <f t="shared" si="71"/>
        <v>0</v>
      </c>
      <c r="N70" s="145"/>
      <c r="O70">
        <v>1</v>
      </c>
    </row>
    <row r="71" spans="1:15" ht="75">
      <c r="A71" s="141">
        <v>16</v>
      </c>
      <c r="B71" s="363" t="s">
        <v>805</v>
      </c>
      <c r="C71" s="157" t="s">
        <v>428</v>
      </c>
      <c r="D71" s="141" t="s">
        <v>128</v>
      </c>
      <c r="E71" s="158" t="s">
        <v>55</v>
      </c>
      <c r="F71" s="143">
        <f t="shared" si="56"/>
        <v>1000</v>
      </c>
      <c r="G71" s="292">
        <v>952</v>
      </c>
      <c r="H71" s="143">
        <v>48</v>
      </c>
      <c r="I71" s="145">
        <v>0</v>
      </c>
      <c r="J71" s="144">
        <f t="shared" si="57"/>
        <v>1000</v>
      </c>
      <c r="K71" s="354">
        <f t="shared" si="69"/>
        <v>952</v>
      </c>
      <c r="L71" s="354">
        <f t="shared" si="70"/>
        <v>48</v>
      </c>
      <c r="M71" s="354">
        <f t="shared" si="71"/>
        <v>0</v>
      </c>
      <c r="N71" s="145"/>
      <c r="O71">
        <v>1</v>
      </c>
    </row>
    <row r="72" spans="1:15" ht="45">
      <c r="A72" s="141">
        <v>17</v>
      </c>
      <c r="B72" s="337" t="s">
        <v>429</v>
      </c>
      <c r="C72" s="157" t="s">
        <v>395</v>
      </c>
      <c r="D72" s="141" t="s">
        <v>430</v>
      </c>
      <c r="E72" s="158" t="s">
        <v>55</v>
      </c>
      <c r="F72" s="143">
        <f t="shared" si="56"/>
        <v>200</v>
      </c>
      <c r="G72" s="292">
        <v>190</v>
      </c>
      <c r="H72" s="143">
        <v>10</v>
      </c>
      <c r="I72" s="145">
        <v>0</v>
      </c>
      <c r="J72" s="144">
        <f t="shared" si="57"/>
        <v>200</v>
      </c>
      <c r="K72" s="354">
        <f t="shared" si="69"/>
        <v>190</v>
      </c>
      <c r="L72" s="354">
        <f t="shared" si="70"/>
        <v>10</v>
      </c>
      <c r="M72" s="354">
        <f t="shared" si="71"/>
        <v>0</v>
      </c>
      <c r="N72" s="145"/>
      <c r="O72">
        <v>1</v>
      </c>
    </row>
    <row r="73" spans="1:15" ht="90">
      <c r="A73" s="141">
        <v>18</v>
      </c>
      <c r="B73" s="337" t="s">
        <v>431</v>
      </c>
      <c r="C73" s="157" t="s">
        <v>426</v>
      </c>
      <c r="D73" s="141" t="s">
        <v>94</v>
      </c>
      <c r="E73" s="158" t="s">
        <v>55</v>
      </c>
      <c r="F73" s="143">
        <f t="shared" si="56"/>
        <v>251</v>
      </c>
      <c r="G73" s="292">
        <v>239</v>
      </c>
      <c r="H73" s="143">
        <v>12</v>
      </c>
      <c r="I73" s="145">
        <v>0</v>
      </c>
      <c r="J73" s="144">
        <f t="shared" si="57"/>
        <v>251</v>
      </c>
      <c r="K73" s="354">
        <f t="shared" si="69"/>
        <v>239</v>
      </c>
      <c r="L73" s="354">
        <f t="shared" si="70"/>
        <v>12</v>
      </c>
      <c r="M73" s="354">
        <f t="shared" si="71"/>
        <v>0</v>
      </c>
      <c r="N73" s="145"/>
      <c r="O73">
        <v>1</v>
      </c>
    </row>
    <row r="74" spans="1:15" ht="90">
      <c r="A74" s="141">
        <v>19</v>
      </c>
      <c r="B74" s="337" t="s">
        <v>432</v>
      </c>
      <c r="C74" s="157" t="s">
        <v>428</v>
      </c>
      <c r="D74" s="141" t="s">
        <v>94</v>
      </c>
      <c r="E74" s="158" t="s">
        <v>55</v>
      </c>
      <c r="F74" s="143">
        <f t="shared" si="56"/>
        <v>250.95</v>
      </c>
      <c r="G74" s="292">
        <v>238.95</v>
      </c>
      <c r="H74" s="143">
        <v>12</v>
      </c>
      <c r="I74" s="145">
        <v>0</v>
      </c>
      <c r="J74" s="144">
        <f t="shared" si="57"/>
        <v>250.95</v>
      </c>
      <c r="K74" s="354">
        <f t="shared" si="69"/>
        <v>238.95</v>
      </c>
      <c r="L74" s="354">
        <f t="shared" si="70"/>
        <v>12</v>
      </c>
      <c r="M74" s="354">
        <f t="shared" si="71"/>
        <v>0</v>
      </c>
      <c r="N74" s="145"/>
      <c r="O74">
        <v>1</v>
      </c>
    </row>
    <row r="75" spans="1:15">
      <c r="A75" s="6" t="s">
        <v>433</v>
      </c>
      <c r="B75" s="339" t="s">
        <v>434</v>
      </c>
      <c r="C75" s="24"/>
      <c r="D75" s="23">
        <v>0</v>
      </c>
      <c r="E75" s="23"/>
      <c r="F75" s="345">
        <f t="shared" ref="F75:M75" si="72">SUM(F76:F76)</f>
        <v>424.3</v>
      </c>
      <c r="G75" s="346">
        <f t="shared" si="72"/>
        <v>404.1</v>
      </c>
      <c r="H75" s="345">
        <f t="shared" si="72"/>
        <v>20.2</v>
      </c>
      <c r="I75" s="345">
        <f t="shared" si="72"/>
        <v>0</v>
      </c>
      <c r="J75" s="345">
        <f t="shared" si="72"/>
        <v>424.3</v>
      </c>
      <c r="K75" s="345">
        <f t="shared" si="72"/>
        <v>404.1</v>
      </c>
      <c r="L75" s="345">
        <f t="shared" si="72"/>
        <v>20.2</v>
      </c>
      <c r="M75" s="345">
        <f t="shared" si="72"/>
        <v>0</v>
      </c>
      <c r="N75" s="16"/>
    </row>
    <row r="76" spans="1:15" ht="45">
      <c r="A76" s="8">
        <v>4</v>
      </c>
      <c r="B76" s="328" t="s">
        <v>440</v>
      </c>
      <c r="C76" s="8" t="s">
        <v>436</v>
      </c>
      <c r="D76" s="8" t="s">
        <v>441</v>
      </c>
      <c r="E76" s="8" t="s">
        <v>55</v>
      </c>
      <c r="F76" s="130">
        <f t="shared" si="56"/>
        <v>424.3</v>
      </c>
      <c r="G76" s="289">
        <v>404.1</v>
      </c>
      <c r="H76" s="130">
        <v>20.2</v>
      </c>
      <c r="I76" s="15">
        <v>0</v>
      </c>
      <c r="J76" s="133">
        <f t="shared" si="57"/>
        <v>424.3</v>
      </c>
      <c r="K76" s="355">
        <f>+G76</f>
        <v>404.1</v>
      </c>
      <c r="L76" s="355">
        <f t="shared" ref="L76:M76" si="73">+H76</f>
        <v>20.2</v>
      </c>
      <c r="M76" s="355">
        <f t="shared" si="73"/>
        <v>0</v>
      </c>
      <c r="N76" s="15"/>
      <c r="O76">
        <v>1</v>
      </c>
    </row>
    <row r="77" spans="1:15">
      <c r="A77" s="6" t="s">
        <v>442</v>
      </c>
      <c r="B77" s="326" t="s">
        <v>443</v>
      </c>
      <c r="C77" s="6"/>
      <c r="D77" s="23">
        <v>0</v>
      </c>
      <c r="E77" s="23"/>
      <c r="F77" s="345">
        <f t="shared" ref="F77:M77" si="74">SUM(F78:F81)</f>
        <v>2607.87</v>
      </c>
      <c r="G77" s="346">
        <f t="shared" si="74"/>
        <v>2483.69</v>
      </c>
      <c r="H77" s="345">
        <f t="shared" si="74"/>
        <v>124.18</v>
      </c>
      <c r="I77" s="345">
        <f t="shared" si="74"/>
        <v>0</v>
      </c>
      <c r="J77" s="345">
        <f t="shared" si="74"/>
        <v>2607.87</v>
      </c>
      <c r="K77" s="345">
        <f t="shared" si="74"/>
        <v>2483.69</v>
      </c>
      <c r="L77" s="345">
        <f t="shared" si="74"/>
        <v>124.18</v>
      </c>
      <c r="M77" s="345">
        <f t="shared" si="74"/>
        <v>0</v>
      </c>
      <c r="N77" s="16"/>
    </row>
    <row r="78" spans="1:15" ht="75">
      <c r="A78" s="8">
        <v>10</v>
      </c>
      <c r="B78" s="328" t="s">
        <v>464</v>
      </c>
      <c r="C78" s="8" t="s">
        <v>463</v>
      </c>
      <c r="D78" s="22" t="s">
        <v>461</v>
      </c>
      <c r="E78" s="8" t="s">
        <v>55</v>
      </c>
      <c r="F78" s="130">
        <f t="shared" ref="F78:F92" si="75">G78+H78</f>
        <v>822.87</v>
      </c>
      <c r="G78" s="289">
        <v>783.69</v>
      </c>
      <c r="H78" s="130">
        <v>39.18</v>
      </c>
      <c r="I78" s="15">
        <v>0</v>
      </c>
      <c r="J78" s="133">
        <f t="shared" ref="J78:J92" si="76">K78+L78</f>
        <v>822.87</v>
      </c>
      <c r="K78" s="355">
        <f>+G78</f>
        <v>783.69</v>
      </c>
      <c r="L78" s="355">
        <f>+H78</f>
        <v>39.18</v>
      </c>
      <c r="M78" s="355">
        <f>+I78</f>
        <v>0</v>
      </c>
      <c r="N78" s="15"/>
      <c r="O78">
        <v>1</v>
      </c>
    </row>
    <row r="79" spans="1:15" ht="75">
      <c r="A79" s="8">
        <v>11</v>
      </c>
      <c r="B79" s="328" t="s">
        <v>465</v>
      </c>
      <c r="C79" s="8" t="s">
        <v>454</v>
      </c>
      <c r="D79" s="22" t="s">
        <v>458</v>
      </c>
      <c r="E79" s="8" t="s">
        <v>55</v>
      </c>
      <c r="F79" s="130">
        <f t="shared" si="75"/>
        <v>1260</v>
      </c>
      <c r="G79" s="289">
        <v>1200</v>
      </c>
      <c r="H79" s="130">
        <v>60</v>
      </c>
      <c r="I79" s="15">
        <v>0</v>
      </c>
      <c r="J79" s="133">
        <f t="shared" si="76"/>
        <v>1260</v>
      </c>
      <c r="K79" s="355">
        <f t="shared" ref="K79:K81" si="77">+G79</f>
        <v>1200</v>
      </c>
      <c r="L79" s="355">
        <f t="shared" ref="L79:L81" si="78">+H79</f>
        <v>60</v>
      </c>
      <c r="M79" s="355">
        <f t="shared" ref="M79:M81" si="79">+I79</f>
        <v>0</v>
      </c>
      <c r="N79" s="15"/>
      <c r="O79">
        <v>1</v>
      </c>
    </row>
    <row r="80" spans="1:15" ht="75">
      <c r="A80" s="8">
        <v>12</v>
      </c>
      <c r="B80" s="328" t="s">
        <v>466</v>
      </c>
      <c r="C80" s="8" t="s">
        <v>445</v>
      </c>
      <c r="D80" s="22" t="s">
        <v>467</v>
      </c>
      <c r="E80" s="8" t="s">
        <v>55</v>
      </c>
      <c r="F80" s="130">
        <f t="shared" si="75"/>
        <v>315</v>
      </c>
      <c r="G80" s="289">
        <v>300</v>
      </c>
      <c r="H80" s="130">
        <v>15</v>
      </c>
      <c r="I80" s="15">
        <v>0</v>
      </c>
      <c r="J80" s="133">
        <f t="shared" si="76"/>
        <v>315</v>
      </c>
      <c r="K80" s="355">
        <f t="shared" si="77"/>
        <v>300</v>
      </c>
      <c r="L80" s="355">
        <f t="shared" si="78"/>
        <v>15</v>
      </c>
      <c r="M80" s="355">
        <f t="shared" si="79"/>
        <v>0</v>
      </c>
      <c r="N80" s="15"/>
      <c r="O80">
        <v>1</v>
      </c>
    </row>
    <row r="81" spans="1:15" ht="75">
      <c r="A81" s="8">
        <v>13</v>
      </c>
      <c r="B81" s="328" t="s">
        <v>468</v>
      </c>
      <c r="C81" s="8" t="s">
        <v>469</v>
      </c>
      <c r="D81" s="22" t="s">
        <v>470</v>
      </c>
      <c r="E81" s="8" t="s">
        <v>55</v>
      </c>
      <c r="F81" s="130">
        <f t="shared" si="75"/>
        <v>210</v>
      </c>
      <c r="G81" s="289">
        <v>200</v>
      </c>
      <c r="H81" s="130">
        <v>10</v>
      </c>
      <c r="I81" s="15">
        <v>0</v>
      </c>
      <c r="J81" s="133">
        <f t="shared" si="76"/>
        <v>210</v>
      </c>
      <c r="K81" s="355">
        <f t="shared" si="77"/>
        <v>200</v>
      </c>
      <c r="L81" s="355">
        <f t="shared" si="78"/>
        <v>10</v>
      </c>
      <c r="M81" s="355">
        <f t="shared" si="79"/>
        <v>0</v>
      </c>
      <c r="N81" s="15"/>
      <c r="O81">
        <v>1</v>
      </c>
    </row>
    <row r="82" spans="1:15">
      <c r="A82" s="20" t="s">
        <v>471</v>
      </c>
      <c r="B82" s="342" t="s">
        <v>472</v>
      </c>
      <c r="C82" s="24"/>
      <c r="D82" s="23">
        <v>0</v>
      </c>
      <c r="E82" s="23"/>
      <c r="F82" s="345">
        <f t="shared" ref="F82:M82" si="80">SUM(F83:F85)</f>
        <v>2676.69</v>
      </c>
      <c r="G82" s="346">
        <f t="shared" si="80"/>
        <v>2549.23</v>
      </c>
      <c r="H82" s="345">
        <f t="shared" si="80"/>
        <v>127.46000000000001</v>
      </c>
      <c r="I82" s="345">
        <f t="shared" si="80"/>
        <v>0</v>
      </c>
      <c r="J82" s="345">
        <f t="shared" si="80"/>
        <v>2676.69</v>
      </c>
      <c r="K82" s="345">
        <f t="shared" si="80"/>
        <v>2549.23</v>
      </c>
      <c r="L82" s="345">
        <f t="shared" si="80"/>
        <v>127.46000000000001</v>
      </c>
      <c r="M82" s="345">
        <f t="shared" si="80"/>
        <v>0</v>
      </c>
      <c r="N82" s="16"/>
    </row>
    <row r="83" spans="1:15" ht="30">
      <c r="A83" s="8">
        <v>11</v>
      </c>
      <c r="B83" s="328" t="s">
        <v>492</v>
      </c>
      <c r="C83" s="8" t="s">
        <v>472</v>
      </c>
      <c r="D83" s="8" t="s">
        <v>493</v>
      </c>
      <c r="E83" s="19" t="s">
        <v>55</v>
      </c>
      <c r="F83" s="130">
        <f t="shared" si="75"/>
        <v>630</v>
      </c>
      <c r="G83" s="289">
        <v>600</v>
      </c>
      <c r="H83" s="130">
        <v>30</v>
      </c>
      <c r="I83" s="15"/>
      <c r="J83" s="133">
        <f t="shared" si="76"/>
        <v>630</v>
      </c>
      <c r="K83" s="355">
        <f>+G83</f>
        <v>600</v>
      </c>
      <c r="L83" s="355">
        <f t="shared" ref="L83:M83" si="81">+H83</f>
        <v>30</v>
      </c>
      <c r="M83" s="355">
        <f t="shared" si="81"/>
        <v>0</v>
      </c>
      <c r="N83" s="15"/>
      <c r="O83">
        <v>1</v>
      </c>
    </row>
    <row r="84" spans="1:15" ht="75">
      <c r="A84" s="8">
        <v>12</v>
      </c>
      <c r="B84" s="328" t="s">
        <v>494</v>
      </c>
      <c r="C84" s="8" t="s">
        <v>495</v>
      </c>
      <c r="D84" s="8" t="s">
        <v>496</v>
      </c>
      <c r="E84" s="19" t="s">
        <v>55</v>
      </c>
      <c r="F84" s="130">
        <f t="shared" si="75"/>
        <v>1050</v>
      </c>
      <c r="G84" s="289">
        <v>1000</v>
      </c>
      <c r="H84" s="130">
        <v>50</v>
      </c>
      <c r="I84" s="15"/>
      <c r="J84" s="133">
        <f t="shared" si="76"/>
        <v>1050</v>
      </c>
      <c r="K84" s="355">
        <f t="shared" ref="K84:K85" si="82">+G84</f>
        <v>1000</v>
      </c>
      <c r="L84" s="355">
        <f t="shared" ref="L84:L85" si="83">+H84</f>
        <v>50</v>
      </c>
      <c r="M84" s="355">
        <f t="shared" ref="M84:M85" si="84">+I84</f>
        <v>0</v>
      </c>
      <c r="N84" s="15"/>
      <c r="O84">
        <v>1</v>
      </c>
    </row>
    <row r="85" spans="1:15" ht="75">
      <c r="A85" s="8">
        <v>13</v>
      </c>
      <c r="B85" s="328" t="s">
        <v>497</v>
      </c>
      <c r="C85" s="8" t="s">
        <v>498</v>
      </c>
      <c r="D85" s="8" t="s">
        <v>326</v>
      </c>
      <c r="E85" s="19" t="s">
        <v>55</v>
      </c>
      <c r="F85" s="130">
        <f t="shared" si="75"/>
        <v>996.69</v>
      </c>
      <c r="G85" s="22">
        <v>949.23</v>
      </c>
      <c r="H85" s="130">
        <v>47.46</v>
      </c>
      <c r="I85" s="15"/>
      <c r="J85" s="133">
        <f t="shared" si="76"/>
        <v>996.69</v>
      </c>
      <c r="K85" s="355">
        <f t="shared" si="82"/>
        <v>949.23</v>
      </c>
      <c r="L85" s="355">
        <f t="shared" si="83"/>
        <v>47.46</v>
      </c>
      <c r="M85" s="355">
        <f t="shared" si="84"/>
        <v>0</v>
      </c>
      <c r="N85" s="15"/>
      <c r="O85">
        <v>1</v>
      </c>
    </row>
    <row r="86" spans="1:15">
      <c r="A86" s="6" t="s">
        <v>499</v>
      </c>
      <c r="B86" s="326" t="s">
        <v>500</v>
      </c>
      <c r="C86" s="24"/>
      <c r="D86" s="23">
        <v>0</v>
      </c>
      <c r="E86" s="23"/>
      <c r="F86" s="345">
        <f t="shared" ref="F86:M86" si="85">SUM(F87:F92)</f>
        <v>2352.25</v>
      </c>
      <c r="G86" s="346">
        <f t="shared" si="85"/>
        <v>2240.25</v>
      </c>
      <c r="H86" s="345">
        <f t="shared" si="85"/>
        <v>112</v>
      </c>
      <c r="I86" s="345">
        <f t="shared" si="85"/>
        <v>0</v>
      </c>
      <c r="J86" s="345">
        <f t="shared" si="85"/>
        <v>2352.25</v>
      </c>
      <c r="K86" s="345">
        <f t="shared" si="85"/>
        <v>2240.25</v>
      </c>
      <c r="L86" s="345">
        <f t="shared" si="85"/>
        <v>112</v>
      </c>
      <c r="M86" s="345">
        <f t="shared" si="85"/>
        <v>0</v>
      </c>
      <c r="N86" s="16"/>
    </row>
    <row r="87" spans="1:15" ht="75">
      <c r="A87" s="8">
        <v>27</v>
      </c>
      <c r="B87" s="328" t="s">
        <v>823</v>
      </c>
      <c r="C87" s="8" t="s">
        <v>334</v>
      </c>
      <c r="D87" s="8" t="s">
        <v>159</v>
      </c>
      <c r="E87" s="8" t="s">
        <v>55</v>
      </c>
      <c r="F87" s="130">
        <f t="shared" si="75"/>
        <v>525</v>
      </c>
      <c r="G87" s="289">
        <v>500</v>
      </c>
      <c r="H87" s="130">
        <v>25</v>
      </c>
      <c r="I87" s="15">
        <v>0</v>
      </c>
      <c r="J87" s="133">
        <f t="shared" si="76"/>
        <v>525</v>
      </c>
      <c r="K87" s="355">
        <f>+G87</f>
        <v>500</v>
      </c>
      <c r="L87" s="355">
        <f t="shared" ref="L87:M87" si="86">+H87</f>
        <v>25</v>
      </c>
      <c r="M87" s="355">
        <f t="shared" si="86"/>
        <v>0</v>
      </c>
      <c r="N87" s="15"/>
      <c r="O87">
        <v>1</v>
      </c>
    </row>
    <row r="88" spans="1:15" ht="75">
      <c r="A88" s="8">
        <v>28</v>
      </c>
      <c r="B88" s="328" t="s">
        <v>824</v>
      </c>
      <c r="C88" s="8" t="s">
        <v>511</v>
      </c>
      <c r="D88" s="8" t="s">
        <v>159</v>
      </c>
      <c r="E88" s="8">
        <v>2025</v>
      </c>
      <c r="F88" s="130">
        <f t="shared" si="75"/>
        <v>525</v>
      </c>
      <c r="G88" s="289">
        <v>500</v>
      </c>
      <c r="H88" s="130">
        <v>25</v>
      </c>
      <c r="I88" s="15">
        <v>0</v>
      </c>
      <c r="J88" s="133">
        <f t="shared" si="76"/>
        <v>525</v>
      </c>
      <c r="K88" s="355">
        <f t="shared" ref="K88:K92" si="87">+G88</f>
        <v>500</v>
      </c>
      <c r="L88" s="355">
        <f t="shared" ref="L88:L92" si="88">+H88</f>
        <v>25</v>
      </c>
      <c r="M88" s="355">
        <f t="shared" ref="M88:M92" si="89">+I88</f>
        <v>0</v>
      </c>
      <c r="N88" s="15"/>
      <c r="O88">
        <v>1</v>
      </c>
    </row>
    <row r="89" spans="1:15" ht="30">
      <c r="A89" s="8">
        <v>29</v>
      </c>
      <c r="B89" s="328" t="s">
        <v>540</v>
      </c>
      <c r="C89" s="8" t="s">
        <v>529</v>
      </c>
      <c r="D89" s="8" t="s">
        <v>811</v>
      </c>
      <c r="E89" s="8" t="s">
        <v>55</v>
      </c>
      <c r="F89" s="130">
        <f t="shared" si="75"/>
        <v>430.5</v>
      </c>
      <c r="G89" s="289">
        <v>410</v>
      </c>
      <c r="H89" s="130">
        <v>20.5</v>
      </c>
      <c r="I89" s="15">
        <v>0</v>
      </c>
      <c r="J89" s="133">
        <f t="shared" si="76"/>
        <v>430.5</v>
      </c>
      <c r="K89" s="355">
        <f t="shared" si="87"/>
        <v>410</v>
      </c>
      <c r="L89" s="355">
        <f t="shared" si="88"/>
        <v>20.5</v>
      </c>
      <c r="M89" s="355">
        <f t="shared" si="89"/>
        <v>0</v>
      </c>
      <c r="N89" s="15"/>
      <c r="O89">
        <v>1</v>
      </c>
    </row>
    <row r="90" spans="1:15" ht="45">
      <c r="A90" s="8">
        <v>30</v>
      </c>
      <c r="B90" s="328" t="s">
        <v>541</v>
      </c>
      <c r="C90" s="8" t="s">
        <v>509</v>
      </c>
      <c r="D90" s="8" t="s">
        <v>812</v>
      </c>
      <c r="E90" s="8" t="s">
        <v>55</v>
      </c>
      <c r="F90" s="130">
        <f t="shared" si="75"/>
        <v>430.5</v>
      </c>
      <c r="G90" s="289">
        <v>410</v>
      </c>
      <c r="H90" s="130">
        <v>20.5</v>
      </c>
      <c r="I90" s="15">
        <v>0</v>
      </c>
      <c r="J90" s="133">
        <f t="shared" si="76"/>
        <v>430.5</v>
      </c>
      <c r="K90" s="355">
        <f t="shared" si="87"/>
        <v>410</v>
      </c>
      <c r="L90" s="355">
        <f t="shared" si="88"/>
        <v>20.5</v>
      </c>
      <c r="M90" s="355">
        <f t="shared" si="89"/>
        <v>0</v>
      </c>
      <c r="N90" s="15"/>
      <c r="O90">
        <v>1</v>
      </c>
    </row>
    <row r="91" spans="1:15" ht="75">
      <c r="A91" s="8">
        <v>31</v>
      </c>
      <c r="B91" s="328" t="s">
        <v>542</v>
      </c>
      <c r="C91" s="8" t="s">
        <v>502</v>
      </c>
      <c r="D91" s="8" t="s">
        <v>510</v>
      </c>
      <c r="E91" s="8" t="s">
        <v>55</v>
      </c>
      <c r="F91" s="130">
        <f t="shared" si="75"/>
        <v>336</v>
      </c>
      <c r="G91" s="289">
        <v>320</v>
      </c>
      <c r="H91" s="130">
        <v>16</v>
      </c>
      <c r="I91" s="15">
        <v>0</v>
      </c>
      <c r="J91" s="133">
        <f t="shared" si="76"/>
        <v>336</v>
      </c>
      <c r="K91" s="355">
        <f t="shared" si="87"/>
        <v>320</v>
      </c>
      <c r="L91" s="355">
        <f t="shared" si="88"/>
        <v>16</v>
      </c>
      <c r="M91" s="355">
        <f t="shared" si="89"/>
        <v>0</v>
      </c>
      <c r="N91" s="15"/>
      <c r="O91">
        <v>1</v>
      </c>
    </row>
    <row r="92" spans="1:15" ht="75">
      <c r="A92" s="8">
        <v>32</v>
      </c>
      <c r="B92" s="328" t="s">
        <v>543</v>
      </c>
      <c r="C92" s="8" t="s">
        <v>502</v>
      </c>
      <c r="D92" s="8" t="s">
        <v>510</v>
      </c>
      <c r="E92" s="8" t="s">
        <v>55</v>
      </c>
      <c r="F92" s="130">
        <f t="shared" si="75"/>
        <v>105.25</v>
      </c>
      <c r="G92" s="289">
        <v>100.25</v>
      </c>
      <c r="H92" s="130">
        <v>5</v>
      </c>
      <c r="I92" s="15">
        <v>0</v>
      </c>
      <c r="J92" s="133">
        <f t="shared" si="76"/>
        <v>105.25</v>
      </c>
      <c r="K92" s="355">
        <f t="shared" si="87"/>
        <v>100.25</v>
      </c>
      <c r="L92" s="355">
        <f t="shared" si="88"/>
        <v>5</v>
      </c>
      <c r="M92" s="355">
        <f t="shared" si="89"/>
        <v>0</v>
      </c>
      <c r="N92" s="15"/>
      <c r="O92">
        <v>1</v>
      </c>
    </row>
    <row r="93" spans="1:15">
      <c r="O93">
        <f>SUM(O23:O92)</f>
        <v>53</v>
      </c>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N30"/>
  <sheetViews>
    <sheetView topLeftCell="C28" zoomScale="85" zoomScaleNormal="85" workbookViewId="0">
      <selection activeCell="N7" sqref="N7:N16"/>
    </sheetView>
  </sheetViews>
  <sheetFormatPr defaultRowHeight="15"/>
  <cols>
    <col min="1" max="1" width="7" customWidth="1"/>
    <col min="2" max="2" width="31.42578125" customWidth="1"/>
    <col min="3" max="3" width="16.28515625" customWidth="1"/>
    <col min="4" max="7" width="16.140625" customWidth="1"/>
    <col min="8" max="8" width="17.42578125" customWidth="1"/>
    <col min="9" max="10" width="16.140625" customWidth="1"/>
    <col min="11" max="11" width="18.42578125" customWidth="1"/>
    <col min="12" max="12" width="11.42578125" customWidth="1"/>
    <col min="14" max="14" width="25.85546875" customWidth="1"/>
  </cols>
  <sheetData>
    <row r="1" spans="1:14" ht="18.75">
      <c r="A1" s="717" t="s">
        <v>1097</v>
      </c>
      <c r="B1" s="717"/>
      <c r="C1" s="717"/>
      <c r="D1" s="717"/>
      <c r="E1" s="717"/>
      <c r="F1" s="717"/>
      <c r="G1" s="717"/>
      <c r="H1" s="717"/>
      <c r="I1" s="717"/>
      <c r="J1" s="717"/>
      <c r="K1" s="717"/>
      <c r="L1" s="717"/>
    </row>
    <row r="2" spans="1:14" ht="36.75" customHeight="1">
      <c r="A2" s="718" t="s">
        <v>1216</v>
      </c>
      <c r="B2" s="719"/>
      <c r="C2" s="719"/>
      <c r="D2" s="719"/>
      <c r="E2" s="719"/>
      <c r="F2" s="719"/>
      <c r="G2" s="719"/>
      <c r="H2" s="719"/>
      <c r="I2" s="719"/>
      <c r="J2" s="719"/>
      <c r="K2" s="719"/>
      <c r="L2" s="719"/>
    </row>
    <row r="3" spans="1:14" ht="18.75">
      <c r="A3" s="720" t="str">
        <f>+'Biểu số 01'!A4:AB4</f>
        <v>(Kèm theo Nghị quyết số        /NQ-HĐND ngày        /11/2024 của HĐND huyện Na Rì)</v>
      </c>
      <c r="B3" s="720"/>
      <c r="C3" s="720"/>
      <c r="D3" s="720"/>
      <c r="E3" s="720"/>
      <c r="F3" s="720"/>
      <c r="G3" s="720"/>
      <c r="H3" s="720"/>
      <c r="I3" s="720"/>
      <c r="J3" s="720"/>
      <c r="K3" s="720"/>
      <c r="L3" s="720"/>
    </row>
    <row r="4" spans="1:14" ht="18.75">
      <c r="A4" s="595"/>
      <c r="B4" s="595"/>
      <c r="C4" s="614"/>
      <c r="D4" s="614"/>
      <c r="E4" s="614"/>
      <c r="F4" s="721" t="s">
        <v>1196</v>
      </c>
      <c r="G4" s="721"/>
      <c r="H4" s="721"/>
      <c r="I4" s="721"/>
      <c r="J4" s="721"/>
      <c r="K4" s="721"/>
      <c r="L4" s="721"/>
    </row>
    <row r="5" spans="1:14" ht="28.5" customHeight="1">
      <c r="A5" s="722" t="s">
        <v>555</v>
      </c>
      <c r="B5" s="722" t="s">
        <v>1197</v>
      </c>
      <c r="C5" s="725" t="s">
        <v>1206</v>
      </c>
      <c r="D5" s="726"/>
      <c r="E5" s="726"/>
      <c r="F5" s="726"/>
      <c r="G5" s="726"/>
      <c r="H5" s="726"/>
      <c r="I5" s="726"/>
      <c r="J5" s="726"/>
      <c r="K5" s="727"/>
      <c r="L5" s="714" t="s">
        <v>8</v>
      </c>
    </row>
    <row r="6" spans="1:14" ht="43.5" customHeight="1">
      <c r="A6" s="723"/>
      <c r="B6" s="723"/>
      <c r="C6" s="728" t="s">
        <v>1176</v>
      </c>
      <c r="D6" s="728" t="s">
        <v>1210</v>
      </c>
      <c r="E6" s="728" t="s">
        <v>1200</v>
      </c>
      <c r="F6" s="715" t="s">
        <v>1198</v>
      </c>
      <c r="G6" s="716"/>
      <c r="H6" s="716"/>
      <c r="I6" s="715" t="s">
        <v>1199</v>
      </c>
      <c r="J6" s="716"/>
      <c r="K6" s="716"/>
      <c r="L6" s="714"/>
    </row>
    <row r="7" spans="1:14" ht="145.5" customHeight="1">
      <c r="A7" s="724"/>
      <c r="B7" s="724"/>
      <c r="C7" s="729"/>
      <c r="D7" s="729"/>
      <c r="E7" s="729"/>
      <c r="F7" s="596" t="s">
        <v>1176</v>
      </c>
      <c r="G7" s="628" t="s">
        <v>1210</v>
      </c>
      <c r="H7" s="628" t="s">
        <v>1200</v>
      </c>
      <c r="I7" s="628" t="s">
        <v>1176</v>
      </c>
      <c r="J7" s="628" t="s">
        <v>1210</v>
      </c>
      <c r="K7" s="596" t="s">
        <v>1200</v>
      </c>
      <c r="L7" s="714"/>
      <c r="N7" s="730"/>
    </row>
    <row r="8" spans="1:14" ht="15.75" customHeight="1">
      <c r="A8" s="597">
        <v>1</v>
      </c>
      <c r="B8" s="597">
        <v>2</v>
      </c>
      <c r="C8" s="597" t="s">
        <v>1227</v>
      </c>
      <c r="D8" s="597" t="s">
        <v>1230</v>
      </c>
      <c r="E8" s="597" t="s">
        <v>1209</v>
      </c>
      <c r="F8" s="597" t="s">
        <v>1228</v>
      </c>
      <c r="G8" s="629">
        <v>7</v>
      </c>
      <c r="H8" s="629">
        <v>8</v>
      </c>
      <c r="I8" s="629" t="s">
        <v>1229</v>
      </c>
      <c r="J8" s="629">
        <v>10</v>
      </c>
      <c r="K8" s="597">
        <v>11</v>
      </c>
      <c r="L8" s="597">
        <v>12</v>
      </c>
      <c r="N8" s="730"/>
    </row>
    <row r="9" spans="1:14" ht="27.75" customHeight="1">
      <c r="A9" s="598"/>
      <c r="B9" s="598" t="s">
        <v>1176</v>
      </c>
      <c r="C9" s="599">
        <f t="shared" ref="C9:E9" si="0">+C10+C13</f>
        <v>111391.39034699999</v>
      </c>
      <c r="D9" s="599">
        <f t="shared" si="0"/>
        <v>4615.2415000000001</v>
      </c>
      <c r="E9" s="599">
        <f t="shared" si="0"/>
        <v>106776.148847</v>
      </c>
      <c r="F9" s="599">
        <f t="shared" ref="F9:K9" si="1">+F10+F13</f>
        <v>59433.006314999999</v>
      </c>
      <c r="G9" s="599">
        <f t="shared" si="1"/>
        <v>1530.2415000000001</v>
      </c>
      <c r="H9" s="599">
        <f t="shared" si="1"/>
        <v>57902.764815000002</v>
      </c>
      <c r="I9" s="599">
        <f t="shared" si="1"/>
        <v>51958.384031999987</v>
      </c>
      <c r="J9" s="599">
        <f t="shared" si="1"/>
        <v>3085</v>
      </c>
      <c r="K9" s="599">
        <f t="shared" si="1"/>
        <v>48873.384031999987</v>
      </c>
      <c r="L9" s="600"/>
      <c r="N9" s="731">
        <f>+F9+I9</f>
        <v>111391.39034699998</v>
      </c>
    </row>
    <row r="10" spans="1:14" ht="27.75" customHeight="1">
      <c r="A10" s="601" t="s">
        <v>14</v>
      </c>
      <c r="B10" s="602" t="s">
        <v>56</v>
      </c>
      <c r="C10" s="603">
        <f t="shared" ref="C10:E10" si="2">SUM(C11:C12)</f>
        <v>26002.645399999998</v>
      </c>
      <c r="D10" s="603">
        <f t="shared" si="2"/>
        <v>171.2415</v>
      </c>
      <c r="E10" s="603">
        <f t="shared" si="2"/>
        <v>25831.403899999998</v>
      </c>
      <c r="F10" s="603">
        <f t="shared" ref="F10:K10" si="3">SUM(F11:F12)</f>
        <v>12095.044549</v>
      </c>
      <c r="G10" s="603">
        <f t="shared" si="3"/>
        <v>159.2415</v>
      </c>
      <c r="H10" s="603">
        <f t="shared" si="3"/>
        <v>11935.803049</v>
      </c>
      <c r="I10" s="603">
        <f t="shared" si="3"/>
        <v>13907.600850999999</v>
      </c>
      <c r="J10" s="603">
        <f t="shared" si="3"/>
        <v>12</v>
      </c>
      <c r="K10" s="603">
        <f t="shared" si="3"/>
        <v>13895.600850999999</v>
      </c>
      <c r="L10" s="604"/>
      <c r="N10" s="732">
        <f>+N9-1090.2415-41110</f>
        <v>69191.148846999975</v>
      </c>
    </row>
    <row r="11" spans="1:14" ht="51" customHeight="1">
      <c r="A11" s="605">
        <v>1</v>
      </c>
      <c r="B11" s="606" t="s">
        <v>1187</v>
      </c>
      <c r="C11" s="624">
        <f>+D11+E11</f>
        <v>25831.403899999998</v>
      </c>
      <c r="D11" s="624">
        <f>+G11+J11</f>
        <v>0</v>
      </c>
      <c r="E11" s="624">
        <f>+H11+K11</f>
        <v>25831.403899999998</v>
      </c>
      <c r="F11" s="625">
        <f>SUM(G11:H11)</f>
        <v>11935.803049</v>
      </c>
      <c r="G11" s="625"/>
      <c r="H11" s="625">
        <f>+'[2]Biểu số 01'!U20+'Biểu số 01'!X11</f>
        <v>11935.803049</v>
      </c>
      <c r="I11" s="625">
        <f>+J11+K11</f>
        <v>13895.600850999999</v>
      </c>
      <c r="J11" s="625"/>
      <c r="K11" s="625">
        <f>7429.8039+'[2]Biểu số 01'!X20</f>
        <v>13895.600850999999</v>
      </c>
      <c r="L11" s="607"/>
      <c r="N11" s="732" t="e">
        <f>+N10-'Biểu số 01'!#REF!</f>
        <v>#REF!</v>
      </c>
    </row>
    <row r="12" spans="1:14" ht="27.75" customHeight="1">
      <c r="A12" s="605">
        <v>2</v>
      </c>
      <c r="B12" s="606" t="s">
        <v>1175</v>
      </c>
      <c r="C12" s="624">
        <f>+D12+E12</f>
        <v>171.2415</v>
      </c>
      <c r="D12" s="624">
        <f>+G12+J12</f>
        <v>171.2415</v>
      </c>
      <c r="E12" s="624">
        <f>+H12+K12</f>
        <v>0</v>
      </c>
      <c r="F12" s="625">
        <f>SUM(G12:H12)</f>
        <v>159.2415</v>
      </c>
      <c r="G12" s="625">
        <f>+'[3] Năm 2024'!AB17</f>
        <v>159.2415</v>
      </c>
      <c r="H12" s="625"/>
      <c r="I12" s="625">
        <f>+J12+K12</f>
        <v>12</v>
      </c>
      <c r="J12" s="625">
        <f>+'[3] Năm 2024'!AE17</f>
        <v>12</v>
      </c>
      <c r="K12" s="625"/>
      <c r="L12" s="607"/>
      <c r="N12" s="733">
        <f>+C9</f>
        <v>111391.39034699999</v>
      </c>
    </row>
    <row r="13" spans="1:14" ht="27.75" customHeight="1">
      <c r="A13" s="601" t="s">
        <v>34</v>
      </c>
      <c r="B13" s="608" t="s">
        <v>1201</v>
      </c>
      <c r="C13" s="604">
        <f t="shared" ref="C13:E13" si="4">SUM(C14:C30)</f>
        <v>85388.744946999999</v>
      </c>
      <c r="D13" s="604">
        <f t="shared" si="4"/>
        <v>4444</v>
      </c>
      <c r="E13" s="604">
        <f t="shared" si="4"/>
        <v>80944.744946999999</v>
      </c>
      <c r="F13" s="626">
        <f t="shared" ref="F13:K13" si="5">SUM(F14:F30)</f>
        <v>47337.961766</v>
      </c>
      <c r="G13" s="626">
        <f t="shared" si="5"/>
        <v>1371</v>
      </c>
      <c r="H13" s="626">
        <f t="shared" si="5"/>
        <v>45966.961766</v>
      </c>
      <c r="I13" s="626">
        <f t="shared" si="5"/>
        <v>38050.783180999992</v>
      </c>
      <c r="J13" s="626">
        <f t="shared" si="5"/>
        <v>3073</v>
      </c>
      <c r="K13" s="626">
        <f t="shared" si="5"/>
        <v>34977.783180999992</v>
      </c>
      <c r="L13" s="609"/>
      <c r="N13" s="734"/>
    </row>
    <row r="14" spans="1:14" ht="27.75" customHeight="1">
      <c r="A14" s="605">
        <v>1</v>
      </c>
      <c r="B14" s="610" t="s">
        <v>933</v>
      </c>
      <c r="C14" s="620">
        <f>+D14+E14</f>
        <v>10810.584774999999</v>
      </c>
      <c r="D14" s="620">
        <f>+G14+J14</f>
        <v>572</v>
      </c>
      <c r="E14" s="620">
        <f>+H14+K14</f>
        <v>10238.584774999999</v>
      </c>
      <c r="F14" s="625">
        <f t="shared" ref="F14:F30" si="6">SUM(G14:H14)</f>
        <v>6990</v>
      </c>
      <c r="G14" s="625"/>
      <c r="H14" s="625">
        <f>+'[2]Biểu số 01'!U96</f>
        <v>6990</v>
      </c>
      <c r="I14" s="625">
        <f>+J14+K14</f>
        <v>3820.5847749999998</v>
      </c>
      <c r="J14" s="625">
        <v>572</v>
      </c>
      <c r="K14" s="625">
        <f>2478.1+'[2]Biểu số 01'!X96</f>
        <v>3248.5847749999998</v>
      </c>
      <c r="L14" s="609"/>
      <c r="N14" s="730"/>
    </row>
    <row r="15" spans="1:14" ht="27.75" customHeight="1">
      <c r="A15" s="605">
        <f t="shared" ref="A15:A30" si="7">+A14+1</f>
        <v>2</v>
      </c>
      <c r="B15" s="610" t="s">
        <v>921</v>
      </c>
      <c r="C15" s="620">
        <f t="shared" ref="C15:C30" si="8">+D15+E15</f>
        <v>4865.7</v>
      </c>
      <c r="D15" s="620">
        <f t="shared" ref="D15:D30" si="9">+G15+J15</f>
        <v>0</v>
      </c>
      <c r="E15" s="620">
        <f t="shared" ref="E15:E30" si="10">+H15+K15</f>
        <v>4865.7</v>
      </c>
      <c r="F15" s="625">
        <f t="shared" si="6"/>
        <v>2425</v>
      </c>
      <c r="G15" s="625"/>
      <c r="H15" s="625">
        <f>+'[2]Biểu số 01'!U42</f>
        <v>2425</v>
      </c>
      <c r="I15" s="625">
        <f t="shared" ref="I15:I30" si="11">+J15+K15</f>
        <v>2440.6999999999998</v>
      </c>
      <c r="J15" s="625">
        <v>0</v>
      </c>
      <c r="K15" s="625">
        <f>2215.7+'[2]Biểu số 01'!X42</f>
        <v>2440.6999999999998</v>
      </c>
      <c r="L15" s="609"/>
      <c r="N15" s="730"/>
    </row>
    <row r="16" spans="1:14" ht="27.75" customHeight="1">
      <c r="A16" s="605">
        <f t="shared" si="7"/>
        <v>3</v>
      </c>
      <c r="B16" s="610" t="s">
        <v>932</v>
      </c>
      <c r="C16" s="620">
        <f t="shared" si="8"/>
        <v>6289.3</v>
      </c>
      <c r="D16" s="620">
        <f t="shared" si="9"/>
        <v>220</v>
      </c>
      <c r="E16" s="620">
        <f t="shared" si="10"/>
        <v>6069.3</v>
      </c>
      <c r="F16" s="625">
        <f t="shared" si="6"/>
        <v>5233</v>
      </c>
      <c r="G16" s="625">
        <f>87+'[2]Biểu số 01'!U16</f>
        <v>175</v>
      </c>
      <c r="H16" s="625">
        <f>+'[2]Biểu số 01'!U93</f>
        <v>5058</v>
      </c>
      <c r="I16" s="625">
        <f t="shared" si="11"/>
        <v>1056.3</v>
      </c>
      <c r="J16" s="625">
        <f>+'[3] Năm 2024'!AE15</f>
        <v>45</v>
      </c>
      <c r="K16" s="625">
        <f>369.3+'[2]Biểu số 01'!X93</f>
        <v>1011.3</v>
      </c>
      <c r="L16" s="609"/>
      <c r="N16" s="730"/>
    </row>
    <row r="17" spans="1:12" ht="27.75" customHeight="1">
      <c r="A17" s="605">
        <f t="shared" si="7"/>
        <v>4</v>
      </c>
      <c r="B17" s="610" t="s">
        <v>923</v>
      </c>
      <c r="C17" s="620">
        <f t="shared" si="8"/>
        <v>5788</v>
      </c>
      <c r="D17" s="620">
        <f t="shared" si="9"/>
        <v>308</v>
      </c>
      <c r="E17" s="620">
        <f t="shared" si="10"/>
        <v>5480</v>
      </c>
      <c r="F17" s="625">
        <f t="shared" si="6"/>
        <v>2700</v>
      </c>
      <c r="G17" s="625"/>
      <c r="H17" s="625">
        <f>+'[2]Biểu số 01'!U51</f>
        <v>2700</v>
      </c>
      <c r="I17" s="625">
        <f t="shared" si="11"/>
        <v>3088</v>
      </c>
      <c r="J17" s="625">
        <v>308</v>
      </c>
      <c r="K17" s="625">
        <f>2480+'[2]Biểu số 01'!X51</f>
        <v>2780</v>
      </c>
      <c r="L17" s="609"/>
    </row>
    <row r="18" spans="1:12" ht="27.75" customHeight="1">
      <c r="A18" s="605">
        <f t="shared" si="7"/>
        <v>5</v>
      </c>
      <c r="B18" s="610" t="s">
        <v>931</v>
      </c>
      <c r="C18" s="620">
        <f t="shared" si="8"/>
        <v>5153.3768899999995</v>
      </c>
      <c r="D18" s="620">
        <f t="shared" si="9"/>
        <v>0</v>
      </c>
      <c r="E18" s="620">
        <f t="shared" si="10"/>
        <v>5153.3768899999995</v>
      </c>
      <c r="F18" s="625">
        <f t="shared" si="6"/>
        <v>2230</v>
      </c>
      <c r="G18" s="625"/>
      <c r="H18" s="625">
        <f>+'[2]Biểu số 01'!U82</f>
        <v>2230</v>
      </c>
      <c r="I18" s="625">
        <f t="shared" si="11"/>
        <v>2923.37689</v>
      </c>
      <c r="J18" s="625">
        <v>0</v>
      </c>
      <c r="K18" s="625">
        <f>2724.3+'[2]Biểu số 01'!X82</f>
        <v>2923.37689</v>
      </c>
      <c r="L18" s="609"/>
    </row>
    <row r="19" spans="1:12" ht="27.75" customHeight="1">
      <c r="A19" s="605">
        <f t="shared" si="7"/>
        <v>6</v>
      </c>
      <c r="B19" s="610" t="s">
        <v>935</v>
      </c>
      <c r="C19" s="620">
        <f t="shared" si="8"/>
        <v>4870.5</v>
      </c>
      <c r="D19" s="620">
        <f t="shared" si="9"/>
        <v>528</v>
      </c>
      <c r="E19" s="620">
        <f t="shared" si="10"/>
        <v>4342.5</v>
      </c>
      <c r="F19" s="625">
        <f t="shared" si="6"/>
        <v>1760</v>
      </c>
      <c r="G19" s="625">
        <f>+'[3] Năm 2024'!AB14</f>
        <v>280</v>
      </c>
      <c r="H19" s="625">
        <f>+'[2]Biểu số 01'!U106</f>
        <v>1480</v>
      </c>
      <c r="I19" s="625">
        <f t="shared" si="11"/>
        <v>3110.5</v>
      </c>
      <c r="J19" s="625">
        <f>+'[3] Năm 2024'!AE14</f>
        <v>248</v>
      </c>
      <c r="K19" s="625">
        <f>2722.5+'[2]Biểu số 01'!X106</f>
        <v>2862.5</v>
      </c>
      <c r="L19" s="609"/>
    </row>
    <row r="20" spans="1:12" ht="27.75" customHeight="1">
      <c r="A20" s="605">
        <f t="shared" si="7"/>
        <v>7</v>
      </c>
      <c r="B20" s="610" t="s">
        <v>926</v>
      </c>
      <c r="C20" s="620">
        <f t="shared" si="8"/>
        <v>7627.7000000000007</v>
      </c>
      <c r="D20" s="620">
        <f t="shared" si="9"/>
        <v>484</v>
      </c>
      <c r="E20" s="620">
        <f t="shared" si="10"/>
        <v>7143.7000000000007</v>
      </c>
      <c r="F20" s="625">
        <f t="shared" si="6"/>
        <v>5589.1130000000003</v>
      </c>
      <c r="G20" s="625">
        <f>+'[3] Năm 2024'!AB13</f>
        <v>484</v>
      </c>
      <c r="H20" s="625">
        <f>+'[2]Biểu số 01'!U63</f>
        <v>5105.1130000000003</v>
      </c>
      <c r="I20" s="625">
        <f>+J20+K20</f>
        <v>2038.587</v>
      </c>
      <c r="J20" s="625">
        <v>0</v>
      </c>
      <c r="K20" s="625">
        <f>1633.7+'[2]Biểu số 01'!X63</f>
        <v>2038.587</v>
      </c>
      <c r="L20" s="609"/>
    </row>
    <row r="21" spans="1:12" ht="27.75" customHeight="1">
      <c r="A21" s="605">
        <f t="shared" si="7"/>
        <v>8</v>
      </c>
      <c r="B21" s="610" t="s">
        <v>922</v>
      </c>
      <c r="C21" s="620">
        <f t="shared" si="8"/>
        <v>4072</v>
      </c>
      <c r="D21" s="620">
        <f t="shared" si="9"/>
        <v>616</v>
      </c>
      <c r="E21" s="620">
        <f t="shared" si="10"/>
        <v>3456</v>
      </c>
      <c r="F21" s="625">
        <f t="shared" si="6"/>
        <v>2332</v>
      </c>
      <c r="G21" s="625">
        <f>+'[2]Biểu số 01'!U14</f>
        <v>132</v>
      </c>
      <c r="H21" s="625">
        <f>+'[2]Biểu số 01'!U47</f>
        <v>2200</v>
      </c>
      <c r="I21" s="625">
        <f t="shared" si="11"/>
        <v>1740</v>
      </c>
      <c r="J21" s="625">
        <v>484</v>
      </c>
      <c r="K21" s="625">
        <f>1106+'[2]Biểu số 01'!X47</f>
        <v>1256</v>
      </c>
      <c r="L21" s="609"/>
    </row>
    <row r="22" spans="1:12" ht="27.75" customHeight="1">
      <c r="A22" s="605">
        <f t="shared" si="7"/>
        <v>9</v>
      </c>
      <c r="B22" s="610" t="s">
        <v>1179</v>
      </c>
      <c r="C22" s="620">
        <f t="shared" si="8"/>
        <v>1120</v>
      </c>
      <c r="D22" s="620">
        <f t="shared" si="9"/>
        <v>352</v>
      </c>
      <c r="E22" s="620">
        <f t="shared" si="10"/>
        <v>768</v>
      </c>
      <c r="F22" s="625">
        <f t="shared" si="6"/>
        <v>768</v>
      </c>
      <c r="G22" s="625"/>
      <c r="H22" s="625">
        <f>+'[2]Biểu số 01'!U76</f>
        <v>768</v>
      </c>
      <c r="I22" s="625">
        <f t="shared" si="11"/>
        <v>352</v>
      </c>
      <c r="J22" s="625">
        <v>352</v>
      </c>
      <c r="K22" s="625">
        <v>0</v>
      </c>
      <c r="L22" s="609"/>
    </row>
    <row r="23" spans="1:12" ht="27.75" customHeight="1">
      <c r="A23" s="605">
        <f t="shared" si="7"/>
        <v>10</v>
      </c>
      <c r="B23" s="610" t="s">
        <v>1178</v>
      </c>
      <c r="C23" s="620">
        <f t="shared" si="8"/>
        <v>7666.7960999999996</v>
      </c>
      <c r="D23" s="620">
        <f t="shared" si="9"/>
        <v>132</v>
      </c>
      <c r="E23" s="620">
        <f t="shared" si="10"/>
        <v>7534.7960999999996</v>
      </c>
      <c r="F23" s="625">
        <f t="shared" si="6"/>
        <v>4980</v>
      </c>
      <c r="G23" s="625">
        <f>+'[3] Năm 2024'!AB16</f>
        <v>80</v>
      </c>
      <c r="H23" s="625">
        <f>+'[2]Biểu số 01'!U86</f>
        <v>4900</v>
      </c>
      <c r="I23" s="625">
        <f t="shared" si="11"/>
        <v>2686.7961</v>
      </c>
      <c r="J23" s="625">
        <f>+'[3] Năm 2024'!AE16</f>
        <v>52</v>
      </c>
      <c r="K23" s="625">
        <f>2164.7961+'[2]Biểu số 01'!X86</f>
        <v>2634.7961</v>
      </c>
      <c r="L23" s="609"/>
    </row>
    <row r="24" spans="1:12" ht="27.75" customHeight="1">
      <c r="A24" s="605">
        <f t="shared" si="7"/>
        <v>11</v>
      </c>
      <c r="B24" s="610" t="s">
        <v>930</v>
      </c>
      <c r="C24" s="620">
        <f t="shared" si="8"/>
        <v>4196.6000000000004</v>
      </c>
      <c r="D24" s="620">
        <f t="shared" si="9"/>
        <v>308</v>
      </c>
      <c r="E24" s="620">
        <f t="shared" si="10"/>
        <v>3888.6</v>
      </c>
      <c r="F24" s="625">
        <f t="shared" si="6"/>
        <v>1260</v>
      </c>
      <c r="G24" s="625"/>
      <c r="H24" s="625">
        <f>+'[2]Biểu số 01'!U79</f>
        <v>1260</v>
      </c>
      <c r="I24" s="625">
        <f t="shared" si="11"/>
        <v>2936.6</v>
      </c>
      <c r="J24" s="625">
        <v>308</v>
      </c>
      <c r="K24" s="625">
        <f>2488.6+'[2]Biểu số 01'!X79</f>
        <v>2628.6</v>
      </c>
      <c r="L24" s="609"/>
    </row>
    <row r="25" spans="1:12" ht="27.75" customHeight="1">
      <c r="A25" s="605">
        <f t="shared" si="7"/>
        <v>12</v>
      </c>
      <c r="B25" s="610" t="s">
        <v>924</v>
      </c>
      <c r="C25" s="620">
        <f t="shared" si="8"/>
        <v>3367.3</v>
      </c>
      <c r="D25" s="620">
        <f t="shared" si="9"/>
        <v>44</v>
      </c>
      <c r="E25" s="620">
        <f t="shared" si="10"/>
        <v>3323.3</v>
      </c>
      <c r="F25" s="625">
        <f t="shared" si="6"/>
        <v>2280</v>
      </c>
      <c r="G25" s="625"/>
      <c r="H25" s="625">
        <f>+'[2]Biểu số 01'!U55</f>
        <v>2280</v>
      </c>
      <c r="I25" s="625">
        <f t="shared" si="11"/>
        <v>1087.3</v>
      </c>
      <c r="J25" s="625">
        <v>44</v>
      </c>
      <c r="K25" s="625">
        <f>923.3+'[2]Biểu số 01'!X55</f>
        <v>1043.3</v>
      </c>
      <c r="L25" s="609"/>
    </row>
    <row r="26" spans="1:12" ht="27.75" customHeight="1">
      <c r="A26" s="605">
        <f t="shared" si="7"/>
        <v>13</v>
      </c>
      <c r="B26" s="610" t="s">
        <v>925</v>
      </c>
      <c r="C26" s="620">
        <f t="shared" si="8"/>
        <v>2314.6</v>
      </c>
      <c r="D26" s="620">
        <f t="shared" si="9"/>
        <v>176</v>
      </c>
      <c r="E26" s="620">
        <f t="shared" si="10"/>
        <v>2138.6</v>
      </c>
      <c r="F26" s="625">
        <f t="shared" si="6"/>
        <v>1393</v>
      </c>
      <c r="G26" s="625">
        <f>+'[2]Biểu số 01'!U15</f>
        <v>132</v>
      </c>
      <c r="H26" s="625">
        <f>+'[2]Biểu số 01'!U61</f>
        <v>1261</v>
      </c>
      <c r="I26" s="625">
        <f t="shared" si="11"/>
        <v>921.6</v>
      </c>
      <c r="J26" s="625">
        <v>44</v>
      </c>
      <c r="K26" s="625">
        <f>738.6+'[2]Biểu số 01'!X61</f>
        <v>877.6</v>
      </c>
      <c r="L26" s="609"/>
    </row>
    <row r="27" spans="1:12" ht="27.75" customHeight="1">
      <c r="A27" s="605">
        <f t="shared" si="7"/>
        <v>14</v>
      </c>
      <c r="B27" s="610" t="s">
        <v>934</v>
      </c>
      <c r="C27" s="620">
        <f t="shared" si="8"/>
        <v>4397.8487660000001</v>
      </c>
      <c r="D27" s="620">
        <f t="shared" si="9"/>
        <v>0</v>
      </c>
      <c r="E27" s="620">
        <f t="shared" si="10"/>
        <v>4397.8487660000001</v>
      </c>
      <c r="F27" s="625">
        <f t="shared" si="6"/>
        <v>1725.8487660000001</v>
      </c>
      <c r="G27" s="625"/>
      <c r="H27" s="625">
        <f>+'[2]Biểu số 01'!U103</f>
        <v>1725.8487660000001</v>
      </c>
      <c r="I27" s="625">
        <f t="shared" si="11"/>
        <v>2672</v>
      </c>
      <c r="J27" s="625">
        <v>0</v>
      </c>
      <c r="K27" s="625">
        <f>2479+'[2]Biểu số 01'!X103</f>
        <v>2672</v>
      </c>
      <c r="L27" s="609"/>
    </row>
    <row r="28" spans="1:12" ht="27.75" customHeight="1">
      <c r="A28" s="605">
        <f>+A27+1</f>
        <v>15</v>
      </c>
      <c r="B28" s="610" t="s">
        <v>927</v>
      </c>
      <c r="C28" s="620">
        <f t="shared" si="8"/>
        <v>5338.2384160000001</v>
      </c>
      <c r="D28" s="620">
        <f t="shared" si="9"/>
        <v>132</v>
      </c>
      <c r="E28" s="620">
        <f t="shared" si="10"/>
        <v>5206.2384160000001</v>
      </c>
      <c r="F28" s="625">
        <f t="shared" si="6"/>
        <v>2454</v>
      </c>
      <c r="G28" s="625"/>
      <c r="H28" s="625">
        <f>+'[2]Biểu số 01'!U72</f>
        <v>2454</v>
      </c>
      <c r="I28" s="625">
        <f t="shared" si="11"/>
        <v>2884.2384160000001</v>
      </c>
      <c r="J28" s="625">
        <v>132</v>
      </c>
      <c r="K28" s="625">
        <f>2483.1+'[2]Biểu số 01'!X72</f>
        <v>2752.2384160000001</v>
      </c>
      <c r="L28" s="609"/>
    </row>
    <row r="29" spans="1:12" ht="27.75" customHeight="1">
      <c r="A29" s="605">
        <f t="shared" si="7"/>
        <v>16</v>
      </c>
      <c r="B29" s="610" t="s">
        <v>920</v>
      </c>
      <c r="C29" s="620">
        <f t="shared" si="8"/>
        <v>5644.6</v>
      </c>
      <c r="D29" s="620">
        <f t="shared" si="9"/>
        <v>264</v>
      </c>
      <c r="E29" s="620">
        <f t="shared" si="10"/>
        <v>5380.6</v>
      </c>
      <c r="F29" s="625">
        <f t="shared" si="6"/>
        <v>2680</v>
      </c>
      <c r="G29" s="625"/>
      <c r="H29" s="625">
        <f>+'[2]Biểu số 01'!U37</f>
        <v>2680</v>
      </c>
      <c r="I29" s="625">
        <f t="shared" si="11"/>
        <v>2964.6</v>
      </c>
      <c r="J29" s="625">
        <v>264</v>
      </c>
      <c r="K29" s="625">
        <f>2480.6+'[2]Biểu số 01'!X37</f>
        <v>2700.6</v>
      </c>
      <c r="L29" s="609"/>
    </row>
    <row r="30" spans="1:12" ht="27.75" customHeight="1">
      <c r="A30" s="605">
        <f t="shared" si="7"/>
        <v>17</v>
      </c>
      <c r="B30" s="610" t="s">
        <v>1189</v>
      </c>
      <c r="C30" s="620">
        <f t="shared" si="8"/>
        <v>1865.6</v>
      </c>
      <c r="D30" s="620">
        <f t="shared" si="9"/>
        <v>308</v>
      </c>
      <c r="E30" s="620">
        <f t="shared" si="10"/>
        <v>1557.6</v>
      </c>
      <c r="F30" s="625">
        <f t="shared" si="6"/>
        <v>538</v>
      </c>
      <c r="G30" s="625">
        <f>+'[2]Biểu số 01'!U17</f>
        <v>88</v>
      </c>
      <c r="H30" s="625">
        <f>+'[2]Biểu số 01'!U35</f>
        <v>450</v>
      </c>
      <c r="I30" s="625">
        <f t="shared" si="11"/>
        <v>1327.6</v>
      </c>
      <c r="J30" s="625">
        <v>220</v>
      </c>
      <c r="K30" s="627">
        <v>1107.5999999999999</v>
      </c>
      <c r="L30" s="611"/>
    </row>
  </sheetData>
  <mergeCells count="13">
    <mergeCell ref="L5:L7"/>
    <mergeCell ref="F6:H6"/>
    <mergeCell ref="I6:K6"/>
    <mergeCell ref="A1:L1"/>
    <mergeCell ref="A2:L2"/>
    <mergeCell ref="A3:L3"/>
    <mergeCell ref="F4:L4"/>
    <mergeCell ref="A5:A7"/>
    <mergeCell ref="B5:B7"/>
    <mergeCell ref="C5:K5"/>
    <mergeCell ref="C6:C7"/>
    <mergeCell ref="D6:D7"/>
    <mergeCell ref="E6:E7"/>
  </mergeCells>
  <pageMargins left="0.43307086614173229" right="0.23622047244094491" top="0.51181102362204722" bottom="0.48" header="0.31496062992125984" footer="0.31496062992125984"/>
  <pageSetup paperSize="9" scale="70" orientation="landscape" verticalDpi="0"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AF18"/>
  <sheetViews>
    <sheetView tabSelected="1" topLeftCell="A43" zoomScale="70" zoomScaleNormal="70" workbookViewId="0">
      <selection sqref="A1:XFD1"/>
    </sheetView>
  </sheetViews>
  <sheetFormatPr defaultRowHeight="15"/>
  <cols>
    <col min="1" max="1" width="6.7109375" style="570" customWidth="1"/>
    <col min="2" max="2" width="38.42578125" style="571" customWidth="1"/>
    <col min="3" max="3" width="14.28515625" style="572" customWidth="1"/>
    <col min="4" max="4" width="11.5703125" style="572" customWidth="1"/>
    <col min="5" max="5" width="11.42578125" style="572" customWidth="1"/>
    <col min="6" max="6" width="8.7109375" style="572" customWidth="1"/>
    <col min="7" max="7" width="9.140625" style="565" customWidth="1"/>
    <col min="8" max="8" width="31.85546875" style="578" hidden="1" customWidth="1"/>
    <col min="9" max="9" width="14" style="578" customWidth="1"/>
    <col min="10" max="11" width="10.42578125" style="573" customWidth="1"/>
    <col min="12" max="12" width="8.5703125" style="573" customWidth="1"/>
    <col min="13" max="14" width="10.42578125" style="573" customWidth="1"/>
    <col min="15" max="15" width="8.5703125" style="573" customWidth="1"/>
    <col min="16" max="16" width="9" style="573" customWidth="1"/>
    <col min="17" max="17" width="9.28515625" style="573" customWidth="1"/>
    <col min="18" max="19" width="10.42578125" style="573" customWidth="1"/>
    <col min="20" max="20" width="8.5703125" style="573" customWidth="1"/>
    <col min="21" max="22" width="10.42578125" style="573" customWidth="1"/>
    <col min="23" max="23" width="8.5703125" style="573" customWidth="1"/>
    <col min="24" max="25" width="10.42578125" style="573" customWidth="1"/>
    <col min="26" max="26" width="8.5703125" style="573" customWidth="1"/>
    <col min="27" max="27" width="11.28515625" style="578" customWidth="1"/>
    <col min="28" max="28" width="9.85546875" style="573" customWidth="1"/>
    <col min="29" max="29" width="14.28515625" style="565" bestFit="1" customWidth="1"/>
    <col min="30" max="30" width="21.28515625" style="565" customWidth="1"/>
    <col min="31" max="31" width="16.7109375" style="565" customWidth="1"/>
    <col min="32" max="32" width="17.42578125" style="565" customWidth="1"/>
    <col min="33" max="219" width="9.140625" style="565"/>
    <col min="220" max="220" width="6.85546875" style="565" customWidth="1"/>
    <col min="221" max="221" width="27.42578125" style="565" customWidth="1"/>
    <col min="222" max="222" width="12.85546875" style="565" customWidth="1"/>
    <col min="223" max="223" width="0" style="565" hidden="1" customWidth="1"/>
    <col min="224" max="224" width="40.42578125" style="565" customWidth="1"/>
    <col min="225" max="225" width="9.140625" style="565" customWidth="1"/>
    <col min="226" max="227" width="11" style="565" customWidth="1"/>
    <col min="228" max="228" width="12.28515625" style="565" customWidth="1"/>
    <col min="229" max="231" width="12.85546875" style="565" customWidth="1"/>
    <col min="232" max="232" width="10.7109375" style="565" customWidth="1"/>
    <col min="233" max="233" width="12.7109375" style="565" customWidth="1"/>
    <col min="234" max="234" width="10.85546875" style="565" customWidth="1"/>
    <col min="235" max="235" width="11.28515625" style="565" customWidth="1"/>
    <col min="236" max="236" width="9.7109375" style="565" customWidth="1"/>
    <col min="237" max="237" width="11.140625" style="565" customWidth="1"/>
    <col min="238" max="238" width="12.42578125" style="565" customWidth="1"/>
    <col min="239" max="244" width="9.7109375" style="565" customWidth="1"/>
    <col min="245" max="245" width="6.140625" style="565" customWidth="1"/>
    <col min="246" max="475" width="9.140625" style="565"/>
    <col min="476" max="476" width="6.85546875" style="565" customWidth="1"/>
    <col min="477" max="477" width="27.42578125" style="565" customWidth="1"/>
    <col min="478" max="478" width="12.85546875" style="565" customWidth="1"/>
    <col min="479" max="479" width="0" style="565" hidden="1" customWidth="1"/>
    <col min="480" max="480" width="40.42578125" style="565" customWidth="1"/>
    <col min="481" max="481" width="9.140625" style="565" customWidth="1"/>
    <col min="482" max="483" width="11" style="565" customWidth="1"/>
    <col min="484" max="484" width="12.28515625" style="565" customWidth="1"/>
    <col min="485" max="487" width="12.85546875" style="565" customWidth="1"/>
    <col min="488" max="488" width="10.7109375" style="565" customWidth="1"/>
    <col min="489" max="489" width="12.7109375" style="565" customWidth="1"/>
    <col min="490" max="490" width="10.85546875" style="565" customWidth="1"/>
    <col min="491" max="491" width="11.28515625" style="565" customWidth="1"/>
    <col min="492" max="492" width="9.7109375" style="565" customWidth="1"/>
    <col min="493" max="493" width="11.140625" style="565" customWidth="1"/>
    <col min="494" max="494" width="12.42578125" style="565" customWidth="1"/>
    <col min="495" max="500" width="9.7109375" style="565" customWidth="1"/>
    <col min="501" max="501" width="6.140625" style="565" customWidth="1"/>
    <col min="502" max="731" width="9.140625" style="565"/>
    <col min="732" max="732" width="6.85546875" style="565" customWidth="1"/>
    <col min="733" max="733" width="27.42578125" style="565" customWidth="1"/>
    <col min="734" max="734" width="12.85546875" style="565" customWidth="1"/>
    <col min="735" max="735" width="0" style="565" hidden="1" customWidth="1"/>
    <col min="736" max="736" width="40.42578125" style="565" customWidth="1"/>
    <col min="737" max="737" width="9.140625" style="565" customWidth="1"/>
    <col min="738" max="739" width="11" style="565" customWidth="1"/>
    <col min="740" max="740" width="12.28515625" style="565" customWidth="1"/>
    <col min="741" max="743" width="12.85546875" style="565" customWidth="1"/>
    <col min="744" max="744" width="10.7109375" style="565" customWidth="1"/>
    <col min="745" max="745" width="12.7109375" style="565" customWidth="1"/>
    <col min="746" max="746" width="10.85546875" style="565" customWidth="1"/>
    <col min="747" max="747" width="11.28515625" style="565" customWidth="1"/>
    <col min="748" max="748" width="9.7109375" style="565" customWidth="1"/>
    <col min="749" max="749" width="11.140625" style="565" customWidth="1"/>
    <col min="750" max="750" width="12.42578125" style="565" customWidth="1"/>
    <col min="751" max="756" width="9.7109375" style="565" customWidth="1"/>
    <col min="757" max="757" width="6.140625" style="565" customWidth="1"/>
    <col min="758" max="987" width="9.140625" style="565"/>
    <col min="988" max="988" width="6.85546875" style="565" customWidth="1"/>
    <col min="989" max="989" width="27.42578125" style="565" customWidth="1"/>
    <col min="990" max="990" width="12.85546875" style="565" customWidth="1"/>
    <col min="991" max="991" width="0" style="565" hidden="1" customWidth="1"/>
    <col min="992" max="992" width="40.42578125" style="565" customWidth="1"/>
    <col min="993" max="993" width="9.140625" style="565" customWidth="1"/>
    <col min="994" max="995" width="11" style="565" customWidth="1"/>
    <col min="996" max="996" width="12.28515625" style="565" customWidth="1"/>
    <col min="997" max="999" width="12.85546875" style="565" customWidth="1"/>
    <col min="1000" max="1000" width="10.7109375" style="565" customWidth="1"/>
    <col min="1001" max="1001" width="12.7109375" style="565" customWidth="1"/>
    <col min="1002" max="1002" width="10.85546875" style="565" customWidth="1"/>
    <col min="1003" max="1003" width="11.28515625" style="565" customWidth="1"/>
    <col min="1004" max="1004" width="9.7109375" style="565" customWidth="1"/>
    <col min="1005" max="1005" width="11.140625" style="565" customWidth="1"/>
    <col min="1006" max="1006" width="12.42578125" style="565" customWidth="1"/>
    <col min="1007" max="1012" width="9.7109375" style="565" customWidth="1"/>
    <col min="1013" max="1013" width="6.140625" style="565" customWidth="1"/>
    <col min="1014" max="1243" width="9.140625" style="565"/>
    <col min="1244" max="1244" width="6.85546875" style="565" customWidth="1"/>
    <col min="1245" max="1245" width="27.42578125" style="565" customWidth="1"/>
    <col min="1246" max="1246" width="12.85546875" style="565" customWidth="1"/>
    <col min="1247" max="1247" width="0" style="565" hidden="1" customWidth="1"/>
    <col min="1248" max="1248" width="40.42578125" style="565" customWidth="1"/>
    <col min="1249" max="1249" width="9.140625" style="565" customWidth="1"/>
    <col min="1250" max="1251" width="11" style="565" customWidth="1"/>
    <col min="1252" max="1252" width="12.28515625" style="565" customWidth="1"/>
    <col min="1253" max="1255" width="12.85546875" style="565" customWidth="1"/>
    <col min="1256" max="1256" width="10.7109375" style="565" customWidth="1"/>
    <col min="1257" max="1257" width="12.7109375" style="565" customWidth="1"/>
    <col min="1258" max="1258" width="10.85546875" style="565" customWidth="1"/>
    <col min="1259" max="1259" width="11.28515625" style="565" customWidth="1"/>
    <col min="1260" max="1260" width="9.7109375" style="565" customWidth="1"/>
    <col min="1261" max="1261" width="11.140625" style="565" customWidth="1"/>
    <col min="1262" max="1262" width="12.42578125" style="565" customWidth="1"/>
    <col min="1263" max="1268" width="9.7109375" style="565" customWidth="1"/>
    <col min="1269" max="1269" width="6.140625" style="565" customWidth="1"/>
    <col min="1270" max="1499" width="9.140625" style="565"/>
    <col min="1500" max="1500" width="6.85546875" style="565" customWidth="1"/>
    <col min="1501" max="1501" width="27.42578125" style="565" customWidth="1"/>
    <col min="1502" max="1502" width="12.85546875" style="565" customWidth="1"/>
    <col min="1503" max="1503" width="0" style="565" hidden="1" customWidth="1"/>
    <col min="1504" max="1504" width="40.42578125" style="565" customWidth="1"/>
    <col min="1505" max="1505" width="9.140625" style="565" customWidth="1"/>
    <col min="1506" max="1507" width="11" style="565" customWidth="1"/>
    <col min="1508" max="1508" width="12.28515625" style="565" customWidth="1"/>
    <col min="1509" max="1511" width="12.85546875" style="565" customWidth="1"/>
    <col min="1512" max="1512" width="10.7109375" style="565" customWidth="1"/>
    <col min="1513" max="1513" width="12.7109375" style="565" customWidth="1"/>
    <col min="1514" max="1514" width="10.85546875" style="565" customWidth="1"/>
    <col min="1515" max="1515" width="11.28515625" style="565" customWidth="1"/>
    <col min="1516" max="1516" width="9.7109375" style="565" customWidth="1"/>
    <col min="1517" max="1517" width="11.140625" style="565" customWidth="1"/>
    <col min="1518" max="1518" width="12.42578125" style="565" customWidth="1"/>
    <col min="1519" max="1524" width="9.7109375" style="565" customWidth="1"/>
    <col min="1525" max="1525" width="6.140625" style="565" customWidth="1"/>
    <col min="1526" max="1755" width="9.140625" style="565"/>
    <col min="1756" max="1756" width="6.85546875" style="565" customWidth="1"/>
    <col min="1757" max="1757" width="27.42578125" style="565" customWidth="1"/>
    <col min="1758" max="1758" width="12.85546875" style="565" customWidth="1"/>
    <col min="1759" max="1759" width="0" style="565" hidden="1" customWidth="1"/>
    <col min="1760" max="1760" width="40.42578125" style="565" customWidth="1"/>
    <col min="1761" max="1761" width="9.140625" style="565" customWidth="1"/>
    <col min="1762" max="1763" width="11" style="565" customWidth="1"/>
    <col min="1764" max="1764" width="12.28515625" style="565" customWidth="1"/>
    <col min="1765" max="1767" width="12.85546875" style="565" customWidth="1"/>
    <col min="1768" max="1768" width="10.7109375" style="565" customWidth="1"/>
    <col min="1769" max="1769" width="12.7109375" style="565" customWidth="1"/>
    <col min="1770" max="1770" width="10.85546875" style="565" customWidth="1"/>
    <col min="1771" max="1771" width="11.28515625" style="565" customWidth="1"/>
    <col min="1772" max="1772" width="9.7109375" style="565" customWidth="1"/>
    <col min="1773" max="1773" width="11.140625" style="565" customWidth="1"/>
    <col min="1774" max="1774" width="12.42578125" style="565" customWidth="1"/>
    <col min="1775" max="1780" width="9.7109375" style="565" customWidth="1"/>
    <col min="1781" max="1781" width="6.140625" style="565" customWidth="1"/>
    <col min="1782" max="2011" width="9.140625" style="565"/>
    <col min="2012" max="2012" width="6.85546875" style="565" customWidth="1"/>
    <col min="2013" max="2013" width="27.42578125" style="565" customWidth="1"/>
    <col min="2014" max="2014" width="12.85546875" style="565" customWidth="1"/>
    <col min="2015" max="2015" width="0" style="565" hidden="1" customWidth="1"/>
    <col min="2016" max="2016" width="40.42578125" style="565" customWidth="1"/>
    <col min="2017" max="2017" width="9.140625" style="565" customWidth="1"/>
    <col min="2018" max="2019" width="11" style="565" customWidth="1"/>
    <col min="2020" max="2020" width="12.28515625" style="565" customWidth="1"/>
    <col min="2021" max="2023" width="12.85546875" style="565" customWidth="1"/>
    <col min="2024" max="2024" width="10.7109375" style="565" customWidth="1"/>
    <col min="2025" max="2025" width="12.7109375" style="565" customWidth="1"/>
    <col min="2026" max="2026" width="10.85546875" style="565" customWidth="1"/>
    <col min="2027" max="2027" width="11.28515625" style="565" customWidth="1"/>
    <col min="2028" max="2028" width="9.7109375" style="565" customWidth="1"/>
    <col min="2029" max="2029" width="11.140625" style="565" customWidth="1"/>
    <col min="2030" max="2030" width="12.42578125" style="565" customWidth="1"/>
    <col min="2031" max="2036" width="9.7109375" style="565" customWidth="1"/>
    <col min="2037" max="2037" width="6.140625" style="565" customWidth="1"/>
    <col min="2038" max="2267" width="9.140625" style="565"/>
    <col min="2268" max="2268" width="6.85546875" style="565" customWidth="1"/>
    <col min="2269" max="2269" width="27.42578125" style="565" customWidth="1"/>
    <col min="2270" max="2270" width="12.85546875" style="565" customWidth="1"/>
    <col min="2271" max="2271" width="0" style="565" hidden="1" customWidth="1"/>
    <col min="2272" max="2272" width="40.42578125" style="565" customWidth="1"/>
    <col min="2273" max="2273" width="9.140625" style="565" customWidth="1"/>
    <col min="2274" max="2275" width="11" style="565" customWidth="1"/>
    <col min="2276" max="2276" width="12.28515625" style="565" customWidth="1"/>
    <col min="2277" max="2279" width="12.85546875" style="565" customWidth="1"/>
    <col min="2280" max="2280" width="10.7109375" style="565" customWidth="1"/>
    <col min="2281" max="2281" width="12.7109375" style="565" customWidth="1"/>
    <col min="2282" max="2282" width="10.85546875" style="565" customWidth="1"/>
    <col min="2283" max="2283" width="11.28515625" style="565" customWidth="1"/>
    <col min="2284" max="2284" width="9.7109375" style="565" customWidth="1"/>
    <col min="2285" max="2285" width="11.140625" style="565" customWidth="1"/>
    <col min="2286" max="2286" width="12.42578125" style="565" customWidth="1"/>
    <col min="2287" max="2292" width="9.7109375" style="565" customWidth="1"/>
    <col min="2293" max="2293" width="6.140625" style="565" customWidth="1"/>
    <col min="2294" max="2523" width="9.140625" style="565"/>
    <col min="2524" max="2524" width="6.85546875" style="565" customWidth="1"/>
    <col min="2525" max="2525" width="27.42578125" style="565" customWidth="1"/>
    <col min="2526" max="2526" width="12.85546875" style="565" customWidth="1"/>
    <col min="2527" max="2527" width="0" style="565" hidden="1" customWidth="1"/>
    <col min="2528" max="2528" width="40.42578125" style="565" customWidth="1"/>
    <col min="2529" max="2529" width="9.140625" style="565" customWidth="1"/>
    <col min="2530" max="2531" width="11" style="565" customWidth="1"/>
    <col min="2532" max="2532" width="12.28515625" style="565" customWidth="1"/>
    <col min="2533" max="2535" width="12.85546875" style="565" customWidth="1"/>
    <col min="2536" max="2536" width="10.7109375" style="565" customWidth="1"/>
    <col min="2537" max="2537" width="12.7109375" style="565" customWidth="1"/>
    <col min="2538" max="2538" width="10.85546875" style="565" customWidth="1"/>
    <col min="2539" max="2539" width="11.28515625" style="565" customWidth="1"/>
    <col min="2540" max="2540" width="9.7109375" style="565" customWidth="1"/>
    <col min="2541" max="2541" width="11.140625" style="565" customWidth="1"/>
    <col min="2542" max="2542" width="12.42578125" style="565" customWidth="1"/>
    <col min="2543" max="2548" width="9.7109375" style="565" customWidth="1"/>
    <col min="2549" max="2549" width="6.140625" style="565" customWidth="1"/>
    <col min="2550" max="2779" width="9.140625" style="565"/>
    <col min="2780" max="2780" width="6.85546875" style="565" customWidth="1"/>
    <col min="2781" max="2781" width="27.42578125" style="565" customWidth="1"/>
    <col min="2782" max="2782" width="12.85546875" style="565" customWidth="1"/>
    <col min="2783" max="2783" width="0" style="565" hidden="1" customWidth="1"/>
    <col min="2784" max="2784" width="40.42578125" style="565" customWidth="1"/>
    <col min="2785" max="2785" width="9.140625" style="565" customWidth="1"/>
    <col min="2786" max="2787" width="11" style="565" customWidth="1"/>
    <col min="2788" max="2788" width="12.28515625" style="565" customWidth="1"/>
    <col min="2789" max="2791" width="12.85546875" style="565" customWidth="1"/>
    <col min="2792" max="2792" width="10.7109375" style="565" customWidth="1"/>
    <col min="2793" max="2793" width="12.7109375" style="565" customWidth="1"/>
    <col min="2794" max="2794" width="10.85546875" style="565" customWidth="1"/>
    <col min="2795" max="2795" width="11.28515625" style="565" customWidth="1"/>
    <col min="2796" max="2796" width="9.7109375" style="565" customWidth="1"/>
    <col min="2797" max="2797" width="11.140625" style="565" customWidth="1"/>
    <col min="2798" max="2798" width="12.42578125" style="565" customWidth="1"/>
    <col min="2799" max="2804" width="9.7109375" style="565" customWidth="1"/>
    <col min="2805" max="2805" width="6.140625" style="565" customWidth="1"/>
    <col min="2806" max="3035" width="9.140625" style="565"/>
    <col min="3036" max="3036" width="6.85546875" style="565" customWidth="1"/>
    <col min="3037" max="3037" width="27.42578125" style="565" customWidth="1"/>
    <col min="3038" max="3038" width="12.85546875" style="565" customWidth="1"/>
    <col min="3039" max="3039" width="0" style="565" hidden="1" customWidth="1"/>
    <col min="3040" max="3040" width="40.42578125" style="565" customWidth="1"/>
    <col min="3041" max="3041" width="9.140625" style="565" customWidth="1"/>
    <col min="3042" max="3043" width="11" style="565" customWidth="1"/>
    <col min="3044" max="3044" width="12.28515625" style="565" customWidth="1"/>
    <col min="3045" max="3047" width="12.85546875" style="565" customWidth="1"/>
    <col min="3048" max="3048" width="10.7109375" style="565" customWidth="1"/>
    <col min="3049" max="3049" width="12.7109375" style="565" customWidth="1"/>
    <col min="3050" max="3050" width="10.85546875" style="565" customWidth="1"/>
    <col min="3051" max="3051" width="11.28515625" style="565" customWidth="1"/>
    <col min="3052" max="3052" width="9.7109375" style="565" customWidth="1"/>
    <col min="3053" max="3053" width="11.140625" style="565" customWidth="1"/>
    <col min="3054" max="3054" width="12.42578125" style="565" customWidth="1"/>
    <col min="3055" max="3060" width="9.7109375" style="565" customWidth="1"/>
    <col min="3061" max="3061" width="6.140625" style="565" customWidth="1"/>
    <col min="3062" max="3291" width="9.140625" style="565"/>
    <col min="3292" max="3292" width="6.85546875" style="565" customWidth="1"/>
    <col min="3293" max="3293" width="27.42578125" style="565" customWidth="1"/>
    <col min="3294" max="3294" width="12.85546875" style="565" customWidth="1"/>
    <col min="3295" max="3295" width="0" style="565" hidden="1" customWidth="1"/>
    <col min="3296" max="3296" width="40.42578125" style="565" customWidth="1"/>
    <col min="3297" max="3297" width="9.140625" style="565" customWidth="1"/>
    <col min="3298" max="3299" width="11" style="565" customWidth="1"/>
    <col min="3300" max="3300" width="12.28515625" style="565" customWidth="1"/>
    <col min="3301" max="3303" width="12.85546875" style="565" customWidth="1"/>
    <col min="3304" max="3304" width="10.7109375" style="565" customWidth="1"/>
    <col min="3305" max="3305" width="12.7109375" style="565" customWidth="1"/>
    <col min="3306" max="3306" width="10.85546875" style="565" customWidth="1"/>
    <col min="3307" max="3307" width="11.28515625" style="565" customWidth="1"/>
    <col min="3308" max="3308" width="9.7109375" style="565" customWidth="1"/>
    <col min="3309" max="3309" width="11.140625" style="565" customWidth="1"/>
    <col min="3310" max="3310" width="12.42578125" style="565" customWidth="1"/>
    <col min="3311" max="3316" width="9.7109375" style="565" customWidth="1"/>
    <col min="3317" max="3317" width="6.140625" style="565" customWidth="1"/>
    <col min="3318" max="3547" width="9.140625" style="565"/>
    <col min="3548" max="3548" width="6.85546875" style="565" customWidth="1"/>
    <col min="3549" max="3549" width="27.42578125" style="565" customWidth="1"/>
    <col min="3550" max="3550" width="12.85546875" style="565" customWidth="1"/>
    <col min="3551" max="3551" width="0" style="565" hidden="1" customWidth="1"/>
    <col min="3552" max="3552" width="40.42578125" style="565" customWidth="1"/>
    <col min="3553" max="3553" width="9.140625" style="565" customWidth="1"/>
    <col min="3554" max="3555" width="11" style="565" customWidth="1"/>
    <col min="3556" max="3556" width="12.28515625" style="565" customWidth="1"/>
    <col min="3557" max="3559" width="12.85546875" style="565" customWidth="1"/>
    <col min="3560" max="3560" width="10.7109375" style="565" customWidth="1"/>
    <col min="3561" max="3561" width="12.7109375" style="565" customWidth="1"/>
    <col min="3562" max="3562" width="10.85546875" style="565" customWidth="1"/>
    <col min="3563" max="3563" width="11.28515625" style="565" customWidth="1"/>
    <col min="3564" max="3564" width="9.7109375" style="565" customWidth="1"/>
    <col min="3565" max="3565" width="11.140625" style="565" customWidth="1"/>
    <col min="3566" max="3566" width="12.42578125" style="565" customWidth="1"/>
    <col min="3567" max="3572" width="9.7109375" style="565" customWidth="1"/>
    <col min="3573" max="3573" width="6.140625" style="565" customWidth="1"/>
    <col min="3574" max="3803" width="9.140625" style="565"/>
    <col min="3804" max="3804" width="6.85546875" style="565" customWidth="1"/>
    <col min="3805" max="3805" width="27.42578125" style="565" customWidth="1"/>
    <col min="3806" max="3806" width="12.85546875" style="565" customWidth="1"/>
    <col min="3807" max="3807" width="0" style="565" hidden="1" customWidth="1"/>
    <col min="3808" max="3808" width="40.42578125" style="565" customWidth="1"/>
    <col min="3809" max="3809" width="9.140625" style="565" customWidth="1"/>
    <col min="3810" max="3811" width="11" style="565" customWidth="1"/>
    <col min="3812" max="3812" width="12.28515625" style="565" customWidth="1"/>
    <col min="3813" max="3815" width="12.85546875" style="565" customWidth="1"/>
    <col min="3816" max="3816" width="10.7109375" style="565" customWidth="1"/>
    <col min="3817" max="3817" width="12.7109375" style="565" customWidth="1"/>
    <col min="3818" max="3818" width="10.85546875" style="565" customWidth="1"/>
    <col min="3819" max="3819" width="11.28515625" style="565" customWidth="1"/>
    <col min="3820" max="3820" width="9.7109375" style="565" customWidth="1"/>
    <col min="3821" max="3821" width="11.140625" style="565" customWidth="1"/>
    <col min="3822" max="3822" width="12.42578125" style="565" customWidth="1"/>
    <col min="3823" max="3828" width="9.7109375" style="565" customWidth="1"/>
    <col min="3829" max="3829" width="6.140625" style="565" customWidth="1"/>
    <col min="3830" max="4059" width="9.140625" style="565"/>
    <col min="4060" max="4060" width="6.85546875" style="565" customWidth="1"/>
    <col min="4061" max="4061" width="27.42578125" style="565" customWidth="1"/>
    <col min="4062" max="4062" width="12.85546875" style="565" customWidth="1"/>
    <col min="4063" max="4063" width="0" style="565" hidden="1" customWidth="1"/>
    <col min="4064" max="4064" width="40.42578125" style="565" customWidth="1"/>
    <col min="4065" max="4065" width="9.140625" style="565" customWidth="1"/>
    <col min="4066" max="4067" width="11" style="565" customWidth="1"/>
    <col min="4068" max="4068" width="12.28515625" style="565" customWidth="1"/>
    <col min="4069" max="4071" width="12.85546875" style="565" customWidth="1"/>
    <col min="4072" max="4072" width="10.7109375" style="565" customWidth="1"/>
    <col min="4073" max="4073" width="12.7109375" style="565" customWidth="1"/>
    <col min="4074" max="4074" width="10.85546875" style="565" customWidth="1"/>
    <col min="4075" max="4075" width="11.28515625" style="565" customWidth="1"/>
    <col min="4076" max="4076" width="9.7109375" style="565" customWidth="1"/>
    <col min="4077" max="4077" width="11.140625" style="565" customWidth="1"/>
    <col min="4078" max="4078" width="12.42578125" style="565" customWidth="1"/>
    <col min="4079" max="4084" width="9.7109375" style="565" customWidth="1"/>
    <col min="4085" max="4085" width="6.140625" style="565" customWidth="1"/>
    <col min="4086" max="4315" width="9.140625" style="565"/>
    <col min="4316" max="4316" width="6.85546875" style="565" customWidth="1"/>
    <col min="4317" max="4317" width="27.42578125" style="565" customWidth="1"/>
    <col min="4318" max="4318" width="12.85546875" style="565" customWidth="1"/>
    <col min="4319" max="4319" width="0" style="565" hidden="1" customWidth="1"/>
    <col min="4320" max="4320" width="40.42578125" style="565" customWidth="1"/>
    <col min="4321" max="4321" width="9.140625" style="565" customWidth="1"/>
    <col min="4322" max="4323" width="11" style="565" customWidth="1"/>
    <col min="4324" max="4324" width="12.28515625" style="565" customWidth="1"/>
    <col min="4325" max="4327" width="12.85546875" style="565" customWidth="1"/>
    <col min="4328" max="4328" width="10.7109375" style="565" customWidth="1"/>
    <col min="4329" max="4329" width="12.7109375" style="565" customWidth="1"/>
    <col min="4330" max="4330" width="10.85546875" style="565" customWidth="1"/>
    <col min="4331" max="4331" width="11.28515625" style="565" customWidth="1"/>
    <col min="4332" max="4332" width="9.7109375" style="565" customWidth="1"/>
    <col min="4333" max="4333" width="11.140625" style="565" customWidth="1"/>
    <col min="4334" max="4334" width="12.42578125" style="565" customWidth="1"/>
    <col min="4335" max="4340" width="9.7109375" style="565" customWidth="1"/>
    <col min="4341" max="4341" width="6.140625" style="565" customWidth="1"/>
    <col min="4342" max="4571" width="9.140625" style="565"/>
    <col min="4572" max="4572" width="6.85546875" style="565" customWidth="1"/>
    <col min="4573" max="4573" width="27.42578125" style="565" customWidth="1"/>
    <col min="4574" max="4574" width="12.85546875" style="565" customWidth="1"/>
    <col min="4575" max="4575" width="0" style="565" hidden="1" customWidth="1"/>
    <col min="4576" max="4576" width="40.42578125" style="565" customWidth="1"/>
    <col min="4577" max="4577" width="9.140625" style="565" customWidth="1"/>
    <col min="4578" max="4579" width="11" style="565" customWidth="1"/>
    <col min="4580" max="4580" width="12.28515625" style="565" customWidth="1"/>
    <col min="4581" max="4583" width="12.85546875" style="565" customWidth="1"/>
    <col min="4584" max="4584" width="10.7109375" style="565" customWidth="1"/>
    <col min="4585" max="4585" width="12.7109375" style="565" customWidth="1"/>
    <col min="4586" max="4586" width="10.85546875" style="565" customWidth="1"/>
    <col min="4587" max="4587" width="11.28515625" style="565" customWidth="1"/>
    <col min="4588" max="4588" width="9.7109375" style="565" customWidth="1"/>
    <col min="4589" max="4589" width="11.140625" style="565" customWidth="1"/>
    <col min="4590" max="4590" width="12.42578125" style="565" customWidth="1"/>
    <col min="4591" max="4596" width="9.7109375" style="565" customWidth="1"/>
    <col min="4597" max="4597" width="6.140625" style="565" customWidth="1"/>
    <col min="4598" max="4827" width="9.140625" style="565"/>
    <col min="4828" max="4828" width="6.85546875" style="565" customWidth="1"/>
    <col min="4829" max="4829" width="27.42578125" style="565" customWidth="1"/>
    <col min="4830" max="4830" width="12.85546875" style="565" customWidth="1"/>
    <col min="4831" max="4831" width="0" style="565" hidden="1" customWidth="1"/>
    <col min="4832" max="4832" width="40.42578125" style="565" customWidth="1"/>
    <col min="4833" max="4833" width="9.140625" style="565" customWidth="1"/>
    <col min="4834" max="4835" width="11" style="565" customWidth="1"/>
    <col min="4836" max="4836" width="12.28515625" style="565" customWidth="1"/>
    <col min="4837" max="4839" width="12.85546875" style="565" customWidth="1"/>
    <col min="4840" max="4840" width="10.7109375" style="565" customWidth="1"/>
    <col min="4841" max="4841" width="12.7109375" style="565" customWidth="1"/>
    <col min="4842" max="4842" width="10.85546875" style="565" customWidth="1"/>
    <col min="4843" max="4843" width="11.28515625" style="565" customWidth="1"/>
    <col min="4844" max="4844" width="9.7109375" style="565" customWidth="1"/>
    <col min="4845" max="4845" width="11.140625" style="565" customWidth="1"/>
    <col min="4846" max="4846" width="12.42578125" style="565" customWidth="1"/>
    <col min="4847" max="4852" width="9.7109375" style="565" customWidth="1"/>
    <col min="4853" max="4853" width="6.140625" style="565" customWidth="1"/>
    <col min="4854" max="5083" width="9.140625" style="565"/>
    <col min="5084" max="5084" width="6.85546875" style="565" customWidth="1"/>
    <col min="5085" max="5085" width="27.42578125" style="565" customWidth="1"/>
    <col min="5086" max="5086" width="12.85546875" style="565" customWidth="1"/>
    <col min="5087" max="5087" width="0" style="565" hidden="1" customWidth="1"/>
    <col min="5088" max="5088" width="40.42578125" style="565" customWidth="1"/>
    <col min="5089" max="5089" width="9.140625" style="565" customWidth="1"/>
    <col min="5090" max="5091" width="11" style="565" customWidth="1"/>
    <col min="5092" max="5092" width="12.28515625" style="565" customWidth="1"/>
    <col min="5093" max="5095" width="12.85546875" style="565" customWidth="1"/>
    <col min="5096" max="5096" width="10.7109375" style="565" customWidth="1"/>
    <col min="5097" max="5097" width="12.7109375" style="565" customWidth="1"/>
    <col min="5098" max="5098" width="10.85546875" style="565" customWidth="1"/>
    <col min="5099" max="5099" width="11.28515625" style="565" customWidth="1"/>
    <col min="5100" max="5100" width="9.7109375" style="565" customWidth="1"/>
    <col min="5101" max="5101" width="11.140625" style="565" customWidth="1"/>
    <col min="5102" max="5102" width="12.42578125" style="565" customWidth="1"/>
    <col min="5103" max="5108" width="9.7109375" style="565" customWidth="1"/>
    <col min="5109" max="5109" width="6.140625" style="565" customWidth="1"/>
    <col min="5110" max="5339" width="9.140625" style="565"/>
    <col min="5340" max="5340" width="6.85546875" style="565" customWidth="1"/>
    <col min="5341" max="5341" width="27.42578125" style="565" customWidth="1"/>
    <col min="5342" max="5342" width="12.85546875" style="565" customWidth="1"/>
    <col min="5343" max="5343" width="0" style="565" hidden="1" customWidth="1"/>
    <col min="5344" max="5344" width="40.42578125" style="565" customWidth="1"/>
    <col min="5345" max="5345" width="9.140625" style="565" customWidth="1"/>
    <col min="5346" max="5347" width="11" style="565" customWidth="1"/>
    <col min="5348" max="5348" width="12.28515625" style="565" customWidth="1"/>
    <col min="5349" max="5351" width="12.85546875" style="565" customWidth="1"/>
    <col min="5352" max="5352" width="10.7109375" style="565" customWidth="1"/>
    <col min="5353" max="5353" width="12.7109375" style="565" customWidth="1"/>
    <col min="5354" max="5354" width="10.85546875" style="565" customWidth="1"/>
    <col min="5355" max="5355" width="11.28515625" style="565" customWidth="1"/>
    <col min="5356" max="5356" width="9.7109375" style="565" customWidth="1"/>
    <col min="5357" max="5357" width="11.140625" style="565" customWidth="1"/>
    <col min="5358" max="5358" width="12.42578125" style="565" customWidth="1"/>
    <col min="5359" max="5364" width="9.7109375" style="565" customWidth="1"/>
    <col min="5365" max="5365" width="6.140625" style="565" customWidth="1"/>
    <col min="5366" max="5595" width="9.140625" style="565"/>
    <col min="5596" max="5596" width="6.85546875" style="565" customWidth="1"/>
    <col min="5597" max="5597" width="27.42578125" style="565" customWidth="1"/>
    <col min="5598" max="5598" width="12.85546875" style="565" customWidth="1"/>
    <col min="5599" max="5599" width="0" style="565" hidden="1" customWidth="1"/>
    <col min="5600" max="5600" width="40.42578125" style="565" customWidth="1"/>
    <col min="5601" max="5601" width="9.140625" style="565" customWidth="1"/>
    <col min="5602" max="5603" width="11" style="565" customWidth="1"/>
    <col min="5604" max="5604" width="12.28515625" style="565" customWidth="1"/>
    <col min="5605" max="5607" width="12.85546875" style="565" customWidth="1"/>
    <col min="5608" max="5608" width="10.7109375" style="565" customWidth="1"/>
    <col min="5609" max="5609" width="12.7109375" style="565" customWidth="1"/>
    <col min="5610" max="5610" width="10.85546875" style="565" customWidth="1"/>
    <col min="5611" max="5611" width="11.28515625" style="565" customWidth="1"/>
    <col min="5612" max="5612" width="9.7109375" style="565" customWidth="1"/>
    <col min="5613" max="5613" width="11.140625" style="565" customWidth="1"/>
    <col min="5614" max="5614" width="12.42578125" style="565" customWidth="1"/>
    <col min="5615" max="5620" width="9.7109375" style="565" customWidth="1"/>
    <col min="5621" max="5621" width="6.140625" style="565" customWidth="1"/>
    <col min="5622" max="5851" width="9.140625" style="565"/>
    <col min="5852" max="5852" width="6.85546875" style="565" customWidth="1"/>
    <col min="5853" max="5853" width="27.42578125" style="565" customWidth="1"/>
    <col min="5854" max="5854" width="12.85546875" style="565" customWidth="1"/>
    <col min="5855" max="5855" width="0" style="565" hidden="1" customWidth="1"/>
    <col min="5856" max="5856" width="40.42578125" style="565" customWidth="1"/>
    <col min="5857" max="5857" width="9.140625" style="565" customWidth="1"/>
    <col min="5858" max="5859" width="11" style="565" customWidth="1"/>
    <col min="5860" max="5860" width="12.28515625" style="565" customWidth="1"/>
    <col min="5861" max="5863" width="12.85546875" style="565" customWidth="1"/>
    <col min="5864" max="5864" width="10.7109375" style="565" customWidth="1"/>
    <col min="5865" max="5865" width="12.7109375" style="565" customWidth="1"/>
    <col min="5866" max="5866" width="10.85546875" style="565" customWidth="1"/>
    <col min="5867" max="5867" width="11.28515625" style="565" customWidth="1"/>
    <col min="5868" max="5868" width="9.7109375" style="565" customWidth="1"/>
    <col min="5869" max="5869" width="11.140625" style="565" customWidth="1"/>
    <col min="5870" max="5870" width="12.42578125" style="565" customWidth="1"/>
    <col min="5871" max="5876" width="9.7109375" style="565" customWidth="1"/>
    <col min="5877" max="5877" width="6.140625" style="565" customWidth="1"/>
    <col min="5878" max="6107" width="9.140625" style="565"/>
    <col min="6108" max="6108" width="6.85546875" style="565" customWidth="1"/>
    <col min="6109" max="6109" width="27.42578125" style="565" customWidth="1"/>
    <col min="6110" max="6110" width="12.85546875" style="565" customWidth="1"/>
    <col min="6111" max="6111" width="0" style="565" hidden="1" customWidth="1"/>
    <col min="6112" max="6112" width="40.42578125" style="565" customWidth="1"/>
    <col min="6113" max="6113" width="9.140625" style="565" customWidth="1"/>
    <col min="6114" max="6115" width="11" style="565" customWidth="1"/>
    <col min="6116" max="6116" width="12.28515625" style="565" customWidth="1"/>
    <col min="6117" max="6119" width="12.85546875" style="565" customWidth="1"/>
    <col min="6120" max="6120" width="10.7109375" style="565" customWidth="1"/>
    <col min="6121" max="6121" width="12.7109375" style="565" customWidth="1"/>
    <col min="6122" max="6122" width="10.85546875" style="565" customWidth="1"/>
    <col min="6123" max="6123" width="11.28515625" style="565" customWidth="1"/>
    <col min="6124" max="6124" width="9.7109375" style="565" customWidth="1"/>
    <col min="6125" max="6125" width="11.140625" style="565" customWidth="1"/>
    <col min="6126" max="6126" width="12.42578125" style="565" customWidth="1"/>
    <col min="6127" max="6132" width="9.7109375" style="565" customWidth="1"/>
    <col min="6133" max="6133" width="6.140625" style="565" customWidth="1"/>
    <col min="6134" max="6363" width="9.140625" style="565"/>
    <col min="6364" max="6364" width="6.85546875" style="565" customWidth="1"/>
    <col min="6365" max="6365" width="27.42578125" style="565" customWidth="1"/>
    <col min="6366" max="6366" width="12.85546875" style="565" customWidth="1"/>
    <col min="6367" max="6367" width="0" style="565" hidden="1" customWidth="1"/>
    <col min="6368" max="6368" width="40.42578125" style="565" customWidth="1"/>
    <col min="6369" max="6369" width="9.140625" style="565" customWidth="1"/>
    <col min="6370" max="6371" width="11" style="565" customWidth="1"/>
    <col min="6372" max="6372" width="12.28515625" style="565" customWidth="1"/>
    <col min="6373" max="6375" width="12.85546875" style="565" customWidth="1"/>
    <col min="6376" max="6376" width="10.7109375" style="565" customWidth="1"/>
    <col min="6377" max="6377" width="12.7109375" style="565" customWidth="1"/>
    <col min="6378" max="6378" width="10.85546875" style="565" customWidth="1"/>
    <col min="6379" max="6379" width="11.28515625" style="565" customWidth="1"/>
    <col min="6380" max="6380" width="9.7109375" style="565" customWidth="1"/>
    <col min="6381" max="6381" width="11.140625" style="565" customWidth="1"/>
    <col min="6382" max="6382" width="12.42578125" style="565" customWidth="1"/>
    <col min="6383" max="6388" width="9.7109375" style="565" customWidth="1"/>
    <col min="6389" max="6389" width="6.140625" style="565" customWidth="1"/>
    <col min="6390" max="6619" width="9.140625" style="565"/>
    <col min="6620" max="6620" width="6.85546875" style="565" customWidth="1"/>
    <col min="6621" max="6621" width="27.42578125" style="565" customWidth="1"/>
    <col min="6622" max="6622" width="12.85546875" style="565" customWidth="1"/>
    <col min="6623" max="6623" width="0" style="565" hidden="1" customWidth="1"/>
    <col min="6624" max="6624" width="40.42578125" style="565" customWidth="1"/>
    <col min="6625" max="6625" width="9.140625" style="565" customWidth="1"/>
    <col min="6626" max="6627" width="11" style="565" customWidth="1"/>
    <col min="6628" max="6628" width="12.28515625" style="565" customWidth="1"/>
    <col min="6629" max="6631" width="12.85546875" style="565" customWidth="1"/>
    <col min="6632" max="6632" width="10.7109375" style="565" customWidth="1"/>
    <col min="6633" max="6633" width="12.7109375" style="565" customWidth="1"/>
    <col min="6634" max="6634" width="10.85546875" style="565" customWidth="1"/>
    <col min="6635" max="6635" width="11.28515625" style="565" customWidth="1"/>
    <col min="6636" max="6636" width="9.7109375" style="565" customWidth="1"/>
    <col min="6637" max="6637" width="11.140625" style="565" customWidth="1"/>
    <col min="6638" max="6638" width="12.42578125" style="565" customWidth="1"/>
    <col min="6639" max="6644" width="9.7109375" style="565" customWidth="1"/>
    <col min="6645" max="6645" width="6.140625" style="565" customWidth="1"/>
    <col min="6646" max="6875" width="9.140625" style="565"/>
    <col min="6876" max="6876" width="6.85546875" style="565" customWidth="1"/>
    <col min="6877" max="6877" width="27.42578125" style="565" customWidth="1"/>
    <col min="6878" max="6878" width="12.85546875" style="565" customWidth="1"/>
    <col min="6879" max="6879" width="0" style="565" hidden="1" customWidth="1"/>
    <col min="6880" max="6880" width="40.42578125" style="565" customWidth="1"/>
    <col min="6881" max="6881" width="9.140625" style="565" customWidth="1"/>
    <col min="6882" max="6883" width="11" style="565" customWidth="1"/>
    <col min="6884" max="6884" width="12.28515625" style="565" customWidth="1"/>
    <col min="6885" max="6887" width="12.85546875" style="565" customWidth="1"/>
    <col min="6888" max="6888" width="10.7109375" style="565" customWidth="1"/>
    <col min="6889" max="6889" width="12.7109375" style="565" customWidth="1"/>
    <col min="6890" max="6890" width="10.85546875" style="565" customWidth="1"/>
    <col min="6891" max="6891" width="11.28515625" style="565" customWidth="1"/>
    <col min="6892" max="6892" width="9.7109375" style="565" customWidth="1"/>
    <col min="6893" max="6893" width="11.140625" style="565" customWidth="1"/>
    <col min="6894" max="6894" width="12.42578125" style="565" customWidth="1"/>
    <col min="6895" max="6900" width="9.7109375" style="565" customWidth="1"/>
    <col min="6901" max="6901" width="6.140625" style="565" customWidth="1"/>
    <col min="6902" max="7131" width="9.140625" style="565"/>
    <col min="7132" max="7132" width="6.85546875" style="565" customWidth="1"/>
    <col min="7133" max="7133" width="27.42578125" style="565" customWidth="1"/>
    <col min="7134" max="7134" width="12.85546875" style="565" customWidth="1"/>
    <col min="7135" max="7135" width="0" style="565" hidden="1" customWidth="1"/>
    <col min="7136" max="7136" width="40.42578125" style="565" customWidth="1"/>
    <col min="7137" max="7137" width="9.140625" style="565" customWidth="1"/>
    <col min="7138" max="7139" width="11" style="565" customWidth="1"/>
    <col min="7140" max="7140" width="12.28515625" style="565" customWidth="1"/>
    <col min="7141" max="7143" width="12.85546875" style="565" customWidth="1"/>
    <col min="7144" max="7144" width="10.7109375" style="565" customWidth="1"/>
    <col min="7145" max="7145" width="12.7109375" style="565" customWidth="1"/>
    <col min="7146" max="7146" width="10.85546875" style="565" customWidth="1"/>
    <col min="7147" max="7147" width="11.28515625" style="565" customWidth="1"/>
    <col min="7148" max="7148" width="9.7109375" style="565" customWidth="1"/>
    <col min="7149" max="7149" width="11.140625" style="565" customWidth="1"/>
    <col min="7150" max="7150" width="12.42578125" style="565" customWidth="1"/>
    <col min="7151" max="7156" width="9.7109375" style="565" customWidth="1"/>
    <col min="7157" max="7157" width="6.140625" style="565" customWidth="1"/>
    <col min="7158" max="7387" width="9.140625" style="565"/>
    <col min="7388" max="7388" width="6.85546875" style="565" customWidth="1"/>
    <col min="7389" max="7389" width="27.42578125" style="565" customWidth="1"/>
    <col min="7390" max="7390" width="12.85546875" style="565" customWidth="1"/>
    <col min="7391" max="7391" width="0" style="565" hidden="1" customWidth="1"/>
    <col min="7392" max="7392" width="40.42578125" style="565" customWidth="1"/>
    <col min="7393" max="7393" width="9.140625" style="565" customWidth="1"/>
    <col min="7394" max="7395" width="11" style="565" customWidth="1"/>
    <col min="7396" max="7396" width="12.28515625" style="565" customWidth="1"/>
    <col min="7397" max="7399" width="12.85546875" style="565" customWidth="1"/>
    <col min="7400" max="7400" width="10.7109375" style="565" customWidth="1"/>
    <col min="7401" max="7401" width="12.7109375" style="565" customWidth="1"/>
    <col min="7402" max="7402" width="10.85546875" style="565" customWidth="1"/>
    <col min="7403" max="7403" width="11.28515625" style="565" customWidth="1"/>
    <col min="7404" max="7404" width="9.7109375" style="565" customWidth="1"/>
    <col min="7405" max="7405" width="11.140625" style="565" customWidth="1"/>
    <col min="7406" max="7406" width="12.42578125" style="565" customWidth="1"/>
    <col min="7407" max="7412" width="9.7109375" style="565" customWidth="1"/>
    <col min="7413" max="7413" width="6.140625" style="565" customWidth="1"/>
    <col min="7414" max="7643" width="9.140625" style="565"/>
    <col min="7644" max="7644" width="6.85546875" style="565" customWidth="1"/>
    <col min="7645" max="7645" width="27.42578125" style="565" customWidth="1"/>
    <col min="7646" max="7646" width="12.85546875" style="565" customWidth="1"/>
    <col min="7647" max="7647" width="0" style="565" hidden="1" customWidth="1"/>
    <col min="7648" max="7648" width="40.42578125" style="565" customWidth="1"/>
    <col min="7649" max="7649" width="9.140625" style="565" customWidth="1"/>
    <col min="7650" max="7651" width="11" style="565" customWidth="1"/>
    <col min="7652" max="7652" width="12.28515625" style="565" customWidth="1"/>
    <col min="7653" max="7655" width="12.85546875" style="565" customWidth="1"/>
    <col min="7656" max="7656" width="10.7109375" style="565" customWidth="1"/>
    <col min="7657" max="7657" width="12.7109375" style="565" customWidth="1"/>
    <col min="7658" max="7658" width="10.85546875" style="565" customWidth="1"/>
    <col min="7659" max="7659" width="11.28515625" style="565" customWidth="1"/>
    <col min="7660" max="7660" width="9.7109375" style="565" customWidth="1"/>
    <col min="7661" max="7661" width="11.140625" style="565" customWidth="1"/>
    <col min="7662" max="7662" width="12.42578125" style="565" customWidth="1"/>
    <col min="7663" max="7668" width="9.7109375" style="565" customWidth="1"/>
    <col min="7669" max="7669" width="6.140625" style="565" customWidth="1"/>
    <col min="7670" max="7899" width="9.140625" style="565"/>
    <col min="7900" max="7900" width="6.85546875" style="565" customWidth="1"/>
    <col min="7901" max="7901" width="27.42578125" style="565" customWidth="1"/>
    <col min="7902" max="7902" width="12.85546875" style="565" customWidth="1"/>
    <col min="7903" max="7903" width="0" style="565" hidden="1" customWidth="1"/>
    <col min="7904" max="7904" width="40.42578125" style="565" customWidth="1"/>
    <col min="7905" max="7905" width="9.140625" style="565" customWidth="1"/>
    <col min="7906" max="7907" width="11" style="565" customWidth="1"/>
    <col min="7908" max="7908" width="12.28515625" style="565" customWidth="1"/>
    <col min="7909" max="7911" width="12.85546875" style="565" customWidth="1"/>
    <col min="7912" max="7912" width="10.7109375" style="565" customWidth="1"/>
    <col min="7913" max="7913" width="12.7109375" style="565" customWidth="1"/>
    <col min="7914" max="7914" width="10.85546875" style="565" customWidth="1"/>
    <col min="7915" max="7915" width="11.28515625" style="565" customWidth="1"/>
    <col min="7916" max="7916" width="9.7109375" style="565" customWidth="1"/>
    <col min="7917" max="7917" width="11.140625" style="565" customWidth="1"/>
    <col min="7918" max="7918" width="12.42578125" style="565" customWidth="1"/>
    <col min="7919" max="7924" width="9.7109375" style="565" customWidth="1"/>
    <col min="7925" max="7925" width="6.140625" style="565" customWidth="1"/>
    <col min="7926" max="8155" width="9.140625" style="565"/>
    <col min="8156" max="8156" width="6.85546875" style="565" customWidth="1"/>
    <col min="8157" max="8157" width="27.42578125" style="565" customWidth="1"/>
    <col min="8158" max="8158" width="12.85546875" style="565" customWidth="1"/>
    <col min="8159" max="8159" width="0" style="565" hidden="1" customWidth="1"/>
    <col min="8160" max="8160" width="40.42578125" style="565" customWidth="1"/>
    <col min="8161" max="8161" width="9.140625" style="565" customWidth="1"/>
    <col min="8162" max="8163" width="11" style="565" customWidth="1"/>
    <col min="8164" max="8164" width="12.28515625" style="565" customWidth="1"/>
    <col min="8165" max="8167" width="12.85546875" style="565" customWidth="1"/>
    <col min="8168" max="8168" width="10.7109375" style="565" customWidth="1"/>
    <col min="8169" max="8169" width="12.7109375" style="565" customWidth="1"/>
    <col min="8170" max="8170" width="10.85546875" style="565" customWidth="1"/>
    <col min="8171" max="8171" width="11.28515625" style="565" customWidth="1"/>
    <col min="8172" max="8172" width="9.7109375" style="565" customWidth="1"/>
    <col min="8173" max="8173" width="11.140625" style="565" customWidth="1"/>
    <col min="8174" max="8174" width="12.42578125" style="565" customWidth="1"/>
    <col min="8175" max="8180" width="9.7109375" style="565" customWidth="1"/>
    <col min="8181" max="8181" width="6.140625" style="565" customWidth="1"/>
    <col min="8182" max="8411" width="9.140625" style="565"/>
    <col min="8412" max="8412" width="6.85546875" style="565" customWidth="1"/>
    <col min="8413" max="8413" width="27.42578125" style="565" customWidth="1"/>
    <col min="8414" max="8414" width="12.85546875" style="565" customWidth="1"/>
    <col min="8415" max="8415" width="0" style="565" hidden="1" customWidth="1"/>
    <col min="8416" max="8416" width="40.42578125" style="565" customWidth="1"/>
    <col min="8417" max="8417" width="9.140625" style="565" customWidth="1"/>
    <col min="8418" max="8419" width="11" style="565" customWidth="1"/>
    <col min="8420" max="8420" width="12.28515625" style="565" customWidth="1"/>
    <col min="8421" max="8423" width="12.85546875" style="565" customWidth="1"/>
    <col min="8424" max="8424" width="10.7109375" style="565" customWidth="1"/>
    <col min="8425" max="8425" width="12.7109375" style="565" customWidth="1"/>
    <col min="8426" max="8426" width="10.85546875" style="565" customWidth="1"/>
    <col min="8427" max="8427" width="11.28515625" style="565" customWidth="1"/>
    <col min="8428" max="8428" width="9.7109375" style="565" customWidth="1"/>
    <col min="8429" max="8429" width="11.140625" style="565" customWidth="1"/>
    <col min="8430" max="8430" width="12.42578125" style="565" customWidth="1"/>
    <col min="8431" max="8436" width="9.7109375" style="565" customWidth="1"/>
    <col min="8437" max="8437" width="6.140625" style="565" customWidth="1"/>
    <col min="8438" max="8667" width="9.140625" style="565"/>
    <col min="8668" max="8668" width="6.85546875" style="565" customWidth="1"/>
    <col min="8669" max="8669" width="27.42578125" style="565" customWidth="1"/>
    <col min="8670" max="8670" width="12.85546875" style="565" customWidth="1"/>
    <col min="8671" max="8671" width="0" style="565" hidden="1" customWidth="1"/>
    <col min="8672" max="8672" width="40.42578125" style="565" customWidth="1"/>
    <col min="8673" max="8673" width="9.140625" style="565" customWidth="1"/>
    <col min="8674" max="8675" width="11" style="565" customWidth="1"/>
    <col min="8676" max="8676" width="12.28515625" style="565" customWidth="1"/>
    <col min="8677" max="8679" width="12.85546875" style="565" customWidth="1"/>
    <col min="8680" max="8680" width="10.7109375" style="565" customWidth="1"/>
    <col min="8681" max="8681" width="12.7109375" style="565" customWidth="1"/>
    <col min="8682" max="8682" width="10.85546875" style="565" customWidth="1"/>
    <col min="8683" max="8683" width="11.28515625" style="565" customWidth="1"/>
    <col min="8684" max="8684" width="9.7109375" style="565" customWidth="1"/>
    <col min="8685" max="8685" width="11.140625" style="565" customWidth="1"/>
    <col min="8686" max="8686" width="12.42578125" style="565" customWidth="1"/>
    <col min="8687" max="8692" width="9.7109375" style="565" customWidth="1"/>
    <col min="8693" max="8693" width="6.140625" style="565" customWidth="1"/>
    <col min="8694" max="8923" width="9.140625" style="565"/>
    <col min="8924" max="8924" width="6.85546875" style="565" customWidth="1"/>
    <col min="8925" max="8925" width="27.42578125" style="565" customWidth="1"/>
    <col min="8926" max="8926" width="12.85546875" style="565" customWidth="1"/>
    <col min="8927" max="8927" width="0" style="565" hidden="1" customWidth="1"/>
    <col min="8928" max="8928" width="40.42578125" style="565" customWidth="1"/>
    <col min="8929" max="8929" width="9.140625" style="565" customWidth="1"/>
    <col min="8930" max="8931" width="11" style="565" customWidth="1"/>
    <col min="8932" max="8932" width="12.28515625" style="565" customWidth="1"/>
    <col min="8933" max="8935" width="12.85546875" style="565" customWidth="1"/>
    <col min="8936" max="8936" width="10.7109375" style="565" customWidth="1"/>
    <col min="8937" max="8937" width="12.7109375" style="565" customWidth="1"/>
    <col min="8938" max="8938" width="10.85546875" style="565" customWidth="1"/>
    <col min="8939" max="8939" width="11.28515625" style="565" customWidth="1"/>
    <col min="8940" max="8940" width="9.7109375" style="565" customWidth="1"/>
    <col min="8941" max="8941" width="11.140625" style="565" customWidth="1"/>
    <col min="8942" max="8942" width="12.42578125" style="565" customWidth="1"/>
    <col min="8943" max="8948" width="9.7109375" style="565" customWidth="1"/>
    <col min="8949" max="8949" width="6.140625" style="565" customWidth="1"/>
    <col min="8950" max="9179" width="9.140625" style="565"/>
    <col min="9180" max="9180" width="6.85546875" style="565" customWidth="1"/>
    <col min="9181" max="9181" width="27.42578125" style="565" customWidth="1"/>
    <col min="9182" max="9182" width="12.85546875" style="565" customWidth="1"/>
    <col min="9183" max="9183" width="0" style="565" hidden="1" customWidth="1"/>
    <col min="9184" max="9184" width="40.42578125" style="565" customWidth="1"/>
    <col min="9185" max="9185" width="9.140625" style="565" customWidth="1"/>
    <col min="9186" max="9187" width="11" style="565" customWidth="1"/>
    <col min="9188" max="9188" width="12.28515625" style="565" customWidth="1"/>
    <col min="9189" max="9191" width="12.85546875" style="565" customWidth="1"/>
    <col min="9192" max="9192" width="10.7109375" style="565" customWidth="1"/>
    <col min="9193" max="9193" width="12.7109375" style="565" customWidth="1"/>
    <col min="9194" max="9194" width="10.85546875" style="565" customWidth="1"/>
    <col min="9195" max="9195" width="11.28515625" style="565" customWidth="1"/>
    <col min="9196" max="9196" width="9.7109375" style="565" customWidth="1"/>
    <col min="9197" max="9197" width="11.140625" style="565" customWidth="1"/>
    <col min="9198" max="9198" width="12.42578125" style="565" customWidth="1"/>
    <col min="9199" max="9204" width="9.7109375" style="565" customWidth="1"/>
    <col min="9205" max="9205" width="6.140625" style="565" customWidth="1"/>
    <col min="9206" max="9435" width="9.140625" style="565"/>
    <col min="9436" max="9436" width="6.85546875" style="565" customWidth="1"/>
    <col min="9437" max="9437" width="27.42578125" style="565" customWidth="1"/>
    <col min="9438" max="9438" width="12.85546875" style="565" customWidth="1"/>
    <col min="9439" max="9439" width="0" style="565" hidden="1" customWidth="1"/>
    <col min="9440" max="9440" width="40.42578125" style="565" customWidth="1"/>
    <col min="9441" max="9441" width="9.140625" style="565" customWidth="1"/>
    <col min="9442" max="9443" width="11" style="565" customWidth="1"/>
    <col min="9444" max="9444" width="12.28515625" style="565" customWidth="1"/>
    <col min="9445" max="9447" width="12.85546875" style="565" customWidth="1"/>
    <col min="9448" max="9448" width="10.7109375" style="565" customWidth="1"/>
    <col min="9449" max="9449" width="12.7109375" style="565" customWidth="1"/>
    <col min="9450" max="9450" width="10.85546875" style="565" customWidth="1"/>
    <col min="9451" max="9451" width="11.28515625" style="565" customWidth="1"/>
    <col min="9452" max="9452" width="9.7109375" style="565" customWidth="1"/>
    <col min="9453" max="9453" width="11.140625" style="565" customWidth="1"/>
    <col min="9454" max="9454" width="12.42578125" style="565" customWidth="1"/>
    <col min="9455" max="9460" width="9.7109375" style="565" customWidth="1"/>
    <col min="9461" max="9461" width="6.140625" style="565" customWidth="1"/>
    <col min="9462" max="9691" width="9.140625" style="565"/>
    <col min="9692" max="9692" width="6.85546875" style="565" customWidth="1"/>
    <col min="9693" max="9693" width="27.42578125" style="565" customWidth="1"/>
    <col min="9694" max="9694" width="12.85546875" style="565" customWidth="1"/>
    <col min="9695" max="9695" width="0" style="565" hidden="1" customWidth="1"/>
    <col min="9696" max="9696" width="40.42578125" style="565" customWidth="1"/>
    <col min="9697" max="9697" width="9.140625" style="565" customWidth="1"/>
    <col min="9698" max="9699" width="11" style="565" customWidth="1"/>
    <col min="9700" max="9700" width="12.28515625" style="565" customWidth="1"/>
    <col min="9701" max="9703" width="12.85546875" style="565" customWidth="1"/>
    <col min="9704" max="9704" width="10.7109375" style="565" customWidth="1"/>
    <col min="9705" max="9705" width="12.7109375" style="565" customWidth="1"/>
    <col min="9706" max="9706" width="10.85546875" style="565" customWidth="1"/>
    <col min="9707" max="9707" width="11.28515625" style="565" customWidth="1"/>
    <col min="9708" max="9708" width="9.7109375" style="565" customWidth="1"/>
    <col min="9709" max="9709" width="11.140625" style="565" customWidth="1"/>
    <col min="9710" max="9710" width="12.42578125" style="565" customWidth="1"/>
    <col min="9711" max="9716" width="9.7109375" style="565" customWidth="1"/>
    <col min="9717" max="9717" width="6.140625" style="565" customWidth="1"/>
    <col min="9718" max="9947" width="9.140625" style="565"/>
    <col min="9948" max="9948" width="6.85546875" style="565" customWidth="1"/>
    <col min="9949" max="9949" width="27.42578125" style="565" customWidth="1"/>
    <col min="9950" max="9950" width="12.85546875" style="565" customWidth="1"/>
    <col min="9951" max="9951" width="0" style="565" hidden="1" customWidth="1"/>
    <col min="9952" max="9952" width="40.42578125" style="565" customWidth="1"/>
    <col min="9953" max="9953" width="9.140625" style="565" customWidth="1"/>
    <col min="9954" max="9955" width="11" style="565" customWidth="1"/>
    <col min="9956" max="9956" width="12.28515625" style="565" customWidth="1"/>
    <col min="9957" max="9959" width="12.85546875" style="565" customWidth="1"/>
    <col min="9960" max="9960" width="10.7109375" style="565" customWidth="1"/>
    <col min="9961" max="9961" width="12.7109375" style="565" customWidth="1"/>
    <col min="9962" max="9962" width="10.85546875" style="565" customWidth="1"/>
    <col min="9963" max="9963" width="11.28515625" style="565" customWidth="1"/>
    <col min="9964" max="9964" width="9.7109375" style="565" customWidth="1"/>
    <col min="9965" max="9965" width="11.140625" style="565" customWidth="1"/>
    <col min="9966" max="9966" width="12.42578125" style="565" customWidth="1"/>
    <col min="9967" max="9972" width="9.7109375" style="565" customWidth="1"/>
    <col min="9973" max="9973" width="6.140625" style="565" customWidth="1"/>
    <col min="9974" max="10203" width="9.140625" style="565"/>
    <col min="10204" max="10204" width="6.85546875" style="565" customWidth="1"/>
    <col min="10205" max="10205" width="27.42578125" style="565" customWidth="1"/>
    <col min="10206" max="10206" width="12.85546875" style="565" customWidth="1"/>
    <col min="10207" max="10207" width="0" style="565" hidden="1" customWidth="1"/>
    <col min="10208" max="10208" width="40.42578125" style="565" customWidth="1"/>
    <col min="10209" max="10209" width="9.140625" style="565" customWidth="1"/>
    <col min="10210" max="10211" width="11" style="565" customWidth="1"/>
    <col min="10212" max="10212" width="12.28515625" style="565" customWidth="1"/>
    <col min="10213" max="10215" width="12.85546875" style="565" customWidth="1"/>
    <col min="10216" max="10216" width="10.7109375" style="565" customWidth="1"/>
    <col min="10217" max="10217" width="12.7109375" style="565" customWidth="1"/>
    <col min="10218" max="10218" width="10.85546875" style="565" customWidth="1"/>
    <col min="10219" max="10219" width="11.28515625" style="565" customWidth="1"/>
    <col min="10220" max="10220" width="9.7109375" style="565" customWidth="1"/>
    <col min="10221" max="10221" width="11.140625" style="565" customWidth="1"/>
    <col min="10222" max="10222" width="12.42578125" style="565" customWidth="1"/>
    <col min="10223" max="10228" width="9.7109375" style="565" customWidth="1"/>
    <col min="10229" max="10229" width="6.140625" style="565" customWidth="1"/>
    <col min="10230" max="10459" width="9.140625" style="565"/>
    <col min="10460" max="10460" width="6.85546875" style="565" customWidth="1"/>
    <col min="10461" max="10461" width="27.42578125" style="565" customWidth="1"/>
    <col min="10462" max="10462" width="12.85546875" style="565" customWidth="1"/>
    <col min="10463" max="10463" width="0" style="565" hidden="1" customWidth="1"/>
    <col min="10464" max="10464" width="40.42578125" style="565" customWidth="1"/>
    <col min="10465" max="10465" width="9.140625" style="565" customWidth="1"/>
    <col min="10466" max="10467" width="11" style="565" customWidth="1"/>
    <col min="10468" max="10468" width="12.28515625" style="565" customWidth="1"/>
    <col min="10469" max="10471" width="12.85546875" style="565" customWidth="1"/>
    <col min="10472" max="10472" width="10.7109375" style="565" customWidth="1"/>
    <col min="10473" max="10473" width="12.7109375" style="565" customWidth="1"/>
    <col min="10474" max="10474" width="10.85546875" style="565" customWidth="1"/>
    <col min="10475" max="10475" width="11.28515625" style="565" customWidth="1"/>
    <col min="10476" max="10476" width="9.7109375" style="565" customWidth="1"/>
    <col min="10477" max="10477" width="11.140625" style="565" customWidth="1"/>
    <col min="10478" max="10478" width="12.42578125" style="565" customWidth="1"/>
    <col min="10479" max="10484" width="9.7109375" style="565" customWidth="1"/>
    <col min="10485" max="10485" width="6.140625" style="565" customWidth="1"/>
    <col min="10486" max="10715" width="9.140625" style="565"/>
    <col min="10716" max="10716" width="6.85546875" style="565" customWidth="1"/>
    <col min="10717" max="10717" width="27.42578125" style="565" customWidth="1"/>
    <col min="10718" max="10718" width="12.85546875" style="565" customWidth="1"/>
    <col min="10719" max="10719" width="0" style="565" hidden="1" customWidth="1"/>
    <col min="10720" max="10720" width="40.42578125" style="565" customWidth="1"/>
    <col min="10721" max="10721" width="9.140625" style="565" customWidth="1"/>
    <col min="10722" max="10723" width="11" style="565" customWidth="1"/>
    <col min="10724" max="10724" width="12.28515625" style="565" customWidth="1"/>
    <col min="10725" max="10727" width="12.85546875" style="565" customWidth="1"/>
    <col min="10728" max="10728" width="10.7109375" style="565" customWidth="1"/>
    <col min="10729" max="10729" width="12.7109375" style="565" customWidth="1"/>
    <col min="10730" max="10730" width="10.85546875" style="565" customWidth="1"/>
    <col min="10731" max="10731" width="11.28515625" style="565" customWidth="1"/>
    <col min="10732" max="10732" width="9.7109375" style="565" customWidth="1"/>
    <col min="10733" max="10733" width="11.140625" style="565" customWidth="1"/>
    <col min="10734" max="10734" width="12.42578125" style="565" customWidth="1"/>
    <col min="10735" max="10740" width="9.7109375" style="565" customWidth="1"/>
    <col min="10741" max="10741" width="6.140625" style="565" customWidth="1"/>
    <col min="10742" max="10971" width="9.140625" style="565"/>
    <col min="10972" max="10972" width="6.85546875" style="565" customWidth="1"/>
    <col min="10973" max="10973" width="27.42578125" style="565" customWidth="1"/>
    <col min="10974" max="10974" width="12.85546875" style="565" customWidth="1"/>
    <col min="10975" max="10975" width="0" style="565" hidden="1" customWidth="1"/>
    <col min="10976" max="10976" width="40.42578125" style="565" customWidth="1"/>
    <col min="10977" max="10977" width="9.140625" style="565" customWidth="1"/>
    <col min="10978" max="10979" width="11" style="565" customWidth="1"/>
    <col min="10980" max="10980" width="12.28515625" style="565" customWidth="1"/>
    <col min="10981" max="10983" width="12.85546875" style="565" customWidth="1"/>
    <col min="10984" max="10984" width="10.7109375" style="565" customWidth="1"/>
    <col min="10985" max="10985" width="12.7109375" style="565" customWidth="1"/>
    <col min="10986" max="10986" width="10.85546875" style="565" customWidth="1"/>
    <col min="10987" max="10987" width="11.28515625" style="565" customWidth="1"/>
    <col min="10988" max="10988" width="9.7109375" style="565" customWidth="1"/>
    <col min="10989" max="10989" width="11.140625" style="565" customWidth="1"/>
    <col min="10990" max="10990" width="12.42578125" style="565" customWidth="1"/>
    <col min="10991" max="10996" width="9.7109375" style="565" customWidth="1"/>
    <col min="10997" max="10997" width="6.140625" style="565" customWidth="1"/>
    <col min="10998" max="11227" width="9.140625" style="565"/>
    <col min="11228" max="11228" width="6.85546875" style="565" customWidth="1"/>
    <col min="11229" max="11229" width="27.42578125" style="565" customWidth="1"/>
    <col min="11230" max="11230" width="12.85546875" style="565" customWidth="1"/>
    <col min="11231" max="11231" width="0" style="565" hidden="1" customWidth="1"/>
    <col min="11232" max="11232" width="40.42578125" style="565" customWidth="1"/>
    <col min="11233" max="11233" width="9.140625" style="565" customWidth="1"/>
    <col min="11234" max="11235" width="11" style="565" customWidth="1"/>
    <col min="11236" max="11236" width="12.28515625" style="565" customWidth="1"/>
    <col min="11237" max="11239" width="12.85546875" style="565" customWidth="1"/>
    <col min="11240" max="11240" width="10.7109375" style="565" customWidth="1"/>
    <col min="11241" max="11241" width="12.7109375" style="565" customWidth="1"/>
    <col min="11242" max="11242" width="10.85546875" style="565" customWidth="1"/>
    <col min="11243" max="11243" width="11.28515625" style="565" customWidth="1"/>
    <col min="11244" max="11244" width="9.7109375" style="565" customWidth="1"/>
    <col min="11245" max="11245" width="11.140625" style="565" customWidth="1"/>
    <col min="11246" max="11246" width="12.42578125" style="565" customWidth="1"/>
    <col min="11247" max="11252" width="9.7109375" style="565" customWidth="1"/>
    <col min="11253" max="11253" width="6.140625" style="565" customWidth="1"/>
    <col min="11254" max="11483" width="9.140625" style="565"/>
    <col min="11484" max="11484" width="6.85546875" style="565" customWidth="1"/>
    <col min="11485" max="11485" width="27.42578125" style="565" customWidth="1"/>
    <col min="11486" max="11486" width="12.85546875" style="565" customWidth="1"/>
    <col min="11487" max="11487" width="0" style="565" hidden="1" customWidth="1"/>
    <col min="11488" max="11488" width="40.42578125" style="565" customWidth="1"/>
    <col min="11489" max="11489" width="9.140625" style="565" customWidth="1"/>
    <col min="11490" max="11491" width="11" style="565" customWidth="1"/>
    <col min="11492" max="11492" width="12.28515625" style="565" customWidth="1"/>
    <col min="11493" max="11495" width="12.85546875" style="565" customWidth="1"/>
    <col min="11496" max="11496" width="10.7109375" style="565" customWidth="1"/>
    <col min="11497" max="11497" width="12.7109375" style="565" customWidth="1"/>
    <col min="11498" max="11498" width="10.85546875" style="565" customWidth="1"/>
    <col min="11499" max="11499" width="11.28515625" style="565" customWidth="1"/>
    <col min="11500" max="11500" width="9.7109375" style="565" customWidth="1"/>
    <col min="11501" max="11501" width="11.140625" style="565" customWidth="1"/>
    <col min="11502" max="11502" width="12.42578125" style="565" customWidth="1"/>
    <col min="11503" max="11508" width="9.7109375" style="565" customWidth="1"/>
    <col min="11509" max="11509" width="6.140625" style="565" customWidth="1"/>
    <col min="11510" max="11739" width="9.140625" style="565"/>
    <col min="11740" max="11740" width="6.85546875" style="565" customWidth="1"/>
    <col min="11741" max="11741" width="27.42578125" style="565" customWidth="1"/>
    <col min="11742" max="11742" width="12.85546875" style="565" customWidth="1"/>
    <col min="11743" max="11743" width="0" style="565" hidden="1" customWidth="1"/>
    <col min="11744" max="11744" width="40.42578125" style="565" customWidth="1"/>
    <col min="11745" max="11745" width="9.140625" style="565" customWidth="1"/>
    <col min="11746" max="11747" width="11" style="565" customWidth="1"/>
    <col min="11748" max="11748" width="12.28515625" style="565" customWidth="1"/>
    <col min="11749" max="11751" width="12.85546875" style="565" customWidth="1"/>
    <col min="11752" max="11752" width="10.7109375" style="565" customWidth="1"/>
    <col min="11753" max="11753" width="12.7109375" style="565" customWidth="1"/>
    <col min="11754" max="11754" width="10.85546875" style="565" customWidth="1"/>
    <col min="11755" max="11755" width="11.28515625" style="565" customWidth="1"/>
    <col min="11756" max="11756" width="9.7109375" style="565" customWidth="1"/>
    <col min="11757" max="11757" width="11.140625" style="565" customWidth="1"/>
    <col min="11758" max="11758" width="12.42578125" style="565" customWidth="1"/>
    <col min="11759" max="11764" width="9.7109375" style="565" customWidth="1"/>
    <col min="11765" max="11765" width="6.140625" style="565" customWidth="1"/>
    <col min="11766" max="11995" width="9.140625" style="565"/>
    <col min="11996" max="11996" width="6.85546875" style="565" customWidth="1"/>
    <col min="11997" max="11997" width="27.42578125" style="565" customWidth="1"/>
    <col min="11998" max="11998" width="12.85546875" style="565" customWidth="1"/>
    <col min="11999" max="11999" width="0" style="565" hidden="1" customWidth="1"/>
    <col min="12000" max="12000" width="40.42578125" style="565" customWidth="1"/>
    <col min="12001" max="12001" width="9.140625" style="565" customWidth="1"/>
    <col min="12002" max="12003" width="11" style="565" customWidth="1"/>
    <col min="12004" max="12004" width="12.28515625" style="565" customWidth="1"/>
    <col min="12005" max="12007" width="12.85546875" style="565" customWidth="1"/>
    <col min="12008" max="12008" width="10.7109375" style="565" customWidth="1"/>
    <col min="12009" max="12009" width="12.7109375" style="565" customWidth="1"/>
    <col min="12010" max="12010" width="10.85546875" style="565" customWidth="1"/>
    <col min="12011" max="12011" width="11.28515625" style="565" customWidth="1"/>
    <col min="12012" max="12012" width="9.7109375" style="565" customWidth="1"/>
    <col min="12013" max="12013" width="11.140625" style="565" customWidth="1"/>
    <col min="12014" max="12014" width="12.42578125" style="565" customWidth="1"/>
    <col min="12015" max="12020" width="9.7109375" style="565" customWidth="1"/>
    <col min="12021" max="12021" width="6.140625" style="565" customWidth="1"/>
    <col min="12022" max="12251" width="9.140625" style="565"/>
    <col min="12252" max="12252" width="6.85546875" style="565" customWidth="1"/>
    <col min="12253" max="12253" width="27.42578125" style="565" customWidth="1"/>
    <col min="12254" max="12254" width="12.85546875" style="565" customWidth="1"/>
    <col min="12255" max="12255" width="0" style="565" hidden="1" customWidth="1"/>
    <col min="12256" max="12256" width="40.42578125" style="565" customWidth="1"/>
    <col min="12257" max="12257" width="9.140625" style="565" customWidth="1"/>
    <col min="12258" max="12259" width="11" style="565" customWidth="1"/>
    <col min="12260" max="12260" width="12.28515625" style="565" customWidth="1"/>
    <col min="12261" max="12263" width="12.85546875" style="565" customWidth="1"/>
    <col min="12264" max="12264" width="10.7109375" style="565" customWidth="1"/>
    <col min="12265" max="12265" width="12.7109375" style="565" customWidth="1"/>
    <col min="12266" max="12266" width="10.85546875" style="565" customWidth="1"/>
    <col min="12267" max="12267" width="11.28515625" style="565" customWidth="1"/>
    <col min="12268" max="12268" width="9.7109375" style="565" customWidth="1"/>
    <col min="12269" max="12269" width="11.140625" style="565" customWidth="1"/>
    <col min="12270" max="12270" width="12.42578125" style="565" customWidth="1"/>
    <col min="12271" max="12276" width="9.7109375" style="565" customWidth="1"/>
    <col min="12277" max="12277" width="6.140625" style="565" customWidth="1"/>
    <col min="12278" max="12507" width="9.140625" style="565"/>
    <col min="12508" max="12508" width="6.85546875" style="565" customWidth="1"/>
    <col min="12509" max="12509" width="27.42578125" style="565" customWidth="1"/>
    <col min="12510" max="12510" width="12.85546875" style="565" customWidth="1"/>
    <col min="12511" max="12511" width="0" style="565" hidden="1" customWidth="1"/>
    <col min="12512" max="12512" width="40.42578125" style="565" customWidth="1"/>
    <col min="12513" max="12513" width="9.140625" style="565" customWidth="1"/>
    <col min="12514" max="12515" width="11" style="565" customWidth="1"/>
    <col min="12516" max="12516" width="12.28515625" style="565" customWidth="1"/>
    <col min="12517" max="12519" width="12.85546875" style="565" customWidth="1"/>
    <col min="12520" max="12520" width="10.7109375" style="565" customWidth="1"/>
    <col min="12521" max="12521" width="12.7109375" style="565" customWidth="1"/>
    <col min="12522" max="12522" width="10.85546875" style="565" customWidth="1"/>
    <col min="12523" max="12523" width="11.28515625" style="565" customWidth="1"/>
    <col min="12524" max="12524" width="9.7109375" style="565" customWidth="1"/>
    <col min="12525" max="12525" width="11.140625" style="565" customWidth="1"/>
    <col min="12526" max="12526" width="12.42578125" style="565" customWidth="1"/>
    <col min="12527" max="12532" width="9.7109375" style="565" customWidth="1"/>
    <col min="12533" max="12533" width="6.140625" style="565" customWidth="1"/>
    <col min="12534" max="12763" width="9.140625" style="565"/>
    <col min="12764" max="12764" width="6.85546875" style="565" customWidth="1"/>
    <col min="12765" max="12765" width="27.42578125" style="565" customWidth="1"/>
    <col min="12766" max="12766" width="12.85546875" style="565" customWidth="1"/>
    <col min="12767" max="12767" width="0" style="565" hidden="1" customWidth="1"/>
    <col min="12768" max="12768" width="40.42578125" style="565" customWidth="1"/>
    <col min="12769" max="12769" width="9.140625" style="565" customWidth="1"/>
    <col min="12770" max="12771" width="11" style="565" customWidth="1"/>
    <col min="12772" max="12772" width="12.28515625" style="565" customWidth="1"/>
    <col min="12773" max="12775" width="12.85546875" style="565" customWidth="1"/>
    <col min="12776" max="12776" width="10.7109375" style="565" customWidth="1"/>
    <col min="12777" max="12777" width="12.7109375" style="565" customWidth="1"/>
    <col min="12778" max="12778" width="10.85546875" style="565" customWidth="1"/>
    <col min="12779" max="12779" width="11.28515625" style="565" customWidth="1"/>
    <col min="12780" max="12780" width="9.7109375" style="565" customWidth="1"/>
    <col min="12781" max="12781" width="11.140625" style="565" customWidth="1"/>
    <col min="12782" max="12782" width="12.42578125" style="565" customWidth="1"/>
    <col min="12783" max="12788" width="9.7109375" style="565" customWidth="1"/>
    <col min="12789" max="12789" width="6.140625" style="565" customWidth="1"/>
    <col min="12790" max="13019" width="9.140625" style="565"/>
    <col min="13020" max="13020" width="6.85546875" style="565" customWidth="1"/>
    <col min="13021" max="13021" width="27.42578125" style="565" customWidth="1"/>
    <col min="13022" max="13022" width="12.85546875" style="565" customWidth="1"/>
    <col min="13023" max="13023" width="0" style="565" hidden="1" customWidth="1"/>
    <col min="13024" max="13024" width="40.42578125" style="565" customWidth="1"/>
    <col min="13025" max="13025" width="9.140625" style="565" customWidth="1"/>
    <col min="13026" max="13027" width="11" style="565" customWidth="1"/>
    <col min="13028" max="13028" width="12.28515625" style="565" customWidth="1"/>
    <col min="13029" max="13031" width="12.85546875" style="565" customWidth="1"/>
    <col min="13032" max="13032" width="10.7109375" style="565" customWidth="1"/>
    <col min="13033" max="13033" width="12.7109375" style="565" customWidth="1"/>
    <col min="13034" max="13034" width="10.85546875" style="565" customWidth="1"/>
    <col min="13035" max="13035" width="11.28515625" style="565" customWidth="1"/>
    <col min="13036" max="13036" width="9.7109375" style="565" customWidth="1"/>
    <col min="13037" max="13037" width="11.140625" style="565" customWidth="1"/>
    <col min="13038" max="13038" width="12.42578125" style="565" customWidth="1"/>
    <col min="13039" max="13044" width="9.7109375" style="565" customWidth="1"/>
    <col min="13045" max="13045" width="6.140625" style="565" customWidth="1"/>
    <col min="13046" max="13275" width="9.140625" style="565"/>
    <col min="13276" max="13276" width="6.85546875" style="565" customWidth="1"/>
    <col min="13277" max="13277" width="27.42578125" style="565" customWidth="1"/>
    <col min="13278" max="13278" width="12.85546875" style="565" customWidth="1"/>
    <col min="13279" max="13279" width="0" style="565" hidden="1" customWidth="1"/>
    <col min="13280" max="13280" width="40.42578125" style="565" customWidth="1"/>
    <col min="13281" max="13281" width="9.140625" style="565" customWidth="1"/>
    <col min="13282" max="13283" width="11" style="565" customWidth="1"/>
    <col min="13284" max="13284" width="12.28515625" style="565" customWidth="1"/>
    <col min="13285" max="13287" width="12.85546875" style="565" customWidth="1"/>
    <col min="13288" max="13288" width="10.7109375" style="565" customWidth="1"/>
    <col min="13289" max="13289" width="12.7109375" style="565" customWidth="1"/>
    <col min="13290" max="13290" width="10.85546875" style="565" customWidth="1"/>
    <col min="13291" max="13291" width="11.28515625" style="565" customWidth="1"/>
    <col min="13292" max="13292" width="9.7109375" style="565" customWidth="1"/>
    <col min="13293" max="13293" width="11.140625" style="565" customWidth="1"/>
    <col min="13294" max="13294" width="12.42578125" style="565" customWidth="1"/>
    <col min="13295" max="13300" width="9.7109375" style="565" customWidth="1"/>
    <col min="13301" max="13301" width="6.140625" style="565" customWidth="1"/>
    <col min="13302" max="13531" width="9.140625" style="565"/>
    <col min="13532" max="13532" width="6.85546875" style="565" customWidth="1"/>
    <col min="13533" max="13533" width="27.42578125" style="565" customWidth="1"/>
    <col min="13534" max="13534" width="12.85546875" style="565" customWidth="1"/>
    <col min="13535" max="13535" width="0" style="565" hidden="1" customWidth="1"/>
    <col min="13536" max="13536" width="40.42578125" style="565" customWidth="1"/>
    <col min="13537" max="13537" width="9.140625" style="565" customWidth="1"/>
    <col min="13538" max="13539" width="11" style="565" customWidth="1"/>
    <col min="13540" max="13540" width="12.28515625" style="565" customWidth="1"/>
    <col min="13541" max="13543" width="12.85546875" style="565" customWidth="1"/>
    <col min="13544" max="13544" width="10.7109375" style="565" customWidth="1"/>
    <col min="13545" max="13545" width="12.7109375" style="565" customWidth="1"/>
    <col min="13546" max="13546" width="10.85546875" style="565" customWidth="1"/>
    <col min="13547" max="13547" width="11.28515625" style="565" customWidth="1"/>
    <col min="13548" max="13548" width="9.7109375" style="565" customWidth="1"/>
    <col min="13549" max="13549" width="11.140625" style="565" customWidth="1"/>
    <col min="13550" max="13550" width="12.42578125" style="565" customWidth="1"/>
    <col min="13551" max="13556" width="9.7109375" style="565" customWidth="1"/>
    <col min="13557" max="13557" width="6.140625" style="565" customWidth="1"/>
    <col min="13558" max="13787" width="9.140625" style="565"/>
    <col min="13788" max="13788" width="6.85546875" style="565" customWidth="1"/>
    <col min="13789" max="13789" width="27.42578125" style="565" customWidth="1"/>
    <col min="13790" max="13790" width="12.85546875" style="565" customWidth="1"/>
    <col min="13791" max="13791" width="0" style="565" hidden="1" customWidth="1"/>
    <col min="13792" max="13792" width="40.42578125" style="565" customWidth="1"/>
    <col min="13793" max="13793" width="9.140625" style="565" customWidth="1"/>
    <col min="13794" max="13795" width="11" style="565" customWidth="1"/>
    <col min="13796" max="13796" width="12.28515625" style="565" customWidth="1"/>
    <col min="13797" max="13799" width="12.85546875" style="565" customWidth="1"/>
    <col min="13800" max="13800" width="10.7109375" style="565" customWidth="1"/>
    <col min="13801" max="13801" width="12.7109375" style="565" customWidth="1"/>
    <col min="13802" max="13802" width="10.85546875" style="565" customWidth="1"/>
    <col min="13803" max="13803" width="11.28515625" style="565" customWidth="1"/>
    <col min="13804" max="13804" width="9.7109375" style="565" customWidth="1"/>
    <col min="13805" max="13805" width="11.140625" style="565" customWidth="1"/>
    <col min="13806" max="13806" width="12.42578125" style="565" customWidth="1"/>
    <col min="13807" max="13812" width="9.7109375" style="565" customWidth="1"/>
    <col min="13813" max="13813" width="6.140625" style="565" customWidth="1"/>
    <col min="13814" max="14043" width="9.140625" style="565"/>
    <col min="14044" max="14044" width="6.85546875" style="565" customWidth="1"/>
    <col min="14045" max="14045" width="27.42578125" style="565" customWidth="1"/>
    <col min="14046" max="14046" width="12.85546875" style="565" customWidth="1"/>
    <col min="14047" max="14047" width="0" style="565" hidden="1" customWidth="1"/>
    <col min="14048" max="14048" width="40.42578125" style="565" customWidth="1"/>
    <col min="14049" max="14049" width="9.140625" style="565" customWidth="1"/>
    <col min="14050" max="14051" width="11" style="565" customWidth="1"/>
    <col min="14052" max="14052" width="12.28515625" style="565" customWidth="1"/>
    <col min="14053" max="14055" width="12.85546875" style="565" customWidth="1"/>
    <col min="14056" max="14056" width="10.7109375" style="565" customWidth="1"/>
    <col min="14057" max="14057" width="12.7109375" style="565" customWidth="1"/>
    <col min="14058" max="14058" width="10.85546875" style="565" customWidth="1"/>
    <col min="14059" max="14059" width="11.28515625" style="565" customWidth="1"/>
    <col min="14060" max="14060" width="9.7109375" style="565" customWidth="1"/>
    <col min="14061" max="14061" width="11.140625" style="565" customWidth="1"/>
    <col min="14062" max="14062" width="12.42578125" style="565" customWidth="1"/>
    <col min="14063" max="14068" width="9.7109375" style="565" customWidth="1"/>
    <col min="14069" max="14069" width="6.140625" style="565" customWidth="1"/>
    <col min="14070" max="14299" width="9.140625" style="565"/>
    <col min="14300" max="14300" width="6.85546875" style="565" customWidth="1"/>
    <col min="14301" max="14301" width="27.42578125" style="565" customWidth="1"/>
    <col min="14302" max="14302" width="12.85546875" style="565" customWidth="1"/>
    <col min="14303" max="14303" width="0" style="565" hidden="1" customWidth="1"/>
    <col min="14304" max="14304" width="40.42578125" style="565" customWidth="1"/>
    <col min="14305" max="14305" width="9.140625" style="565" customWidth="1"/>
    <col min="14306" max="14307" width="11" style="565" customWidth="1"/>
    <col min="14308" max="14308" width="12.28515625" style="565" customWidth="1"/>
    <col min="14309" max="14311" width="12.85546875" style="565" customWidth="1"/>
    <col min="14312" max="14312" width="10.7109375" style="565" customWidth="1"/>
    <col min="14313" max="14313" width="12.7109375" style="565" customWidth="1"/>
    <col min="14314" max="14314" width="10.85546875" style="565" customWidth="1"/>
    <col min="14315" max="14315" width="11.28515625" style="565" customWidth="1"/>
    <col min="14316" max="14316" width="9.7109375" style="565" customWidth="1"/>
    <col min="14317" max="14317" width="11.140625" style="565" customWidth="1"/>
    <col min="14318" max="14318" width="12.42578125" style="565" customWidth="1"/>
    <col min="14319" max="14324" width="9.7109375" style="565" customWidth="1"/>
    <col min="14325" max="14325" width="6.140625" style="565" customWidth="1"/>
    <col min="14326" max="14555" width="9.140625" style="565"/>
    <col min="14556" max="14556" width="6.85546875" style="565" customWidth="1"/>
    <col min="14557" max="14557" width="27.42578125" style="565" customWidth="1"/>
    <col min="14558" max="14558" width="12.85546875" style="565" customWidth="1"/>
    <col min="14559" max="14559" width="0" style="565" hidden="1" customWidth="1"/>
    <col min="14560" max="14560" width="40.42578125" style="565" customWidth="1"/>
    <col min="14561" max="14561" width="9.140625" style="565" customWidth="1"/>
    <col min="14562" max="14563" width="11" style="565" customWidth="1"/>
    <col min="14564" max="14564" width="12.28515625" style="565" customWidth="1"/>
    <col min="14565" max="14567" width="12.85546875" style="565" customWidth="1"/>
    <col min="14568" max="14568" width="10.7109375" style="565" customWidth="1"/>
    <col min="14569" max="14569" width="12.7109375" style="565" customWidth="1"/>
    <col min="14570" max="14570" width="10.85546875" style="565" customWidth="1"/>
    <col min="14571" max="14571" width="11.28515625" style="565" customWidth="1"/>
    <col min="14572" max="14572" width="9.7109375" style="565" customWidth="1"/>
    <col min="14573" max="14573" width="11.140625" style="565" customWidth="1"/>
    <col min="14574" max="14574" width="12.42578125" style="565" customWidth="1"/>
    <col min="14575" max="14580" width="9.7109375" style="565" customWidth="1"/>
    <col min="14581" max="14581" width="6.140625" style="565" customWidth="1"/>
    <col min="14582" max="14811" width="9.140625" style="565"/>
    <col min="14812" max="14812" width="6.85546875" style="565" customWidth="1"/>
    <col min="14813" max="14813" width="27.42578125" style="565" customWidth="1"/>
    <col min="14814" max="14814" width="12.85546875" style="565" customWidth="1"/>
    <col min="14815" max="14815" width="0" style="565" hidden="1" customWidth="1"/>
    <col min="14816" max="14816" width="40.42578125" style="565" customWidth="1"/>
    <col min="14817" max="14817" width="9.140625" style="565" customWidth="1"/>
    <col min="14818" max="14819" width="11" style="565" customWidth="1"/>
    <col min="14820" max="14820" width="12.28515625" style="565" customWidth="1"/>
    <col min="14821" max="14823" width="12.85546875" style="565" customWidth="1"/>
    <col min="14824" max="14824" width="10.7109375" style="565" customWidth="1"/>
    <col min="14825" max="14825" width="12.7109375" style="565" customWidth="1"/>
    <col min="14826" max="14826" width="10.85546875" style="565" customWidth="1"/>
    <col min="14827" max="14827" width="11.28515625" style="565" customWidth="1"/>
    <col min="14828" max="14828" width="9.7109375" style="565" customWidth="1"/>
    <col min="14829" max="14829" width="11.140625" style="565" customWidth="1"/>
    <col min="14830" max="14830" width="12.42578125" style="565" customWidth="1"/>
    <col min="14831" max="14836" width="9.7109375" style="565" customWidth="1"/>
    <col min="14837" max="14837" width="6.140625" style="565" customWidth="1"/>
    <col min="14838" max="15067" width="9.140625" style="565"/>
    <col min="15068" max="15068" width="6.85546875" style="565" customWidth="1"/>
    <col min="15069" max="15069" width="27.42578125" style="565" customWidth="1"/>
    <col min="15070" max="15070" width="12.85546875" style="565" customWidth="1"/>
    <col min="15071" max="15071" width="0" style="565" hidden="1" customWidth="1"/>
    <col min="15072" max="15072" width="40.42578125" style="565" customWidth="1"/>
    <col min="15073" max="15073" width="9.140625" style="565" customWidth="1"/>
    <col min="15074" max="15075" width="11" style="565" customWidth="1"/>
    <col min="15076" max="15076" width="12.28515625" style="565" customWidth="1"/>
    <col min="15077" max="15079" width="12.85546875" style="565" customWidth="1"/>
    <col min="15080" max="15080" width="10.7109375" style="565" customWidth="1"/>
    <col min="15081" max="15081" width="12.7109375" style="565" customWidth="1"/>
    <col min="15082" max="15082" width="10.85546875" style="565" customWidth="1"/>
    <col min="15083" max="15083" width="11.28515625" style="565" customWidth="1"/>
    <col min="15084" max="15084" width="9.7109375" style="565" customWidth="1"/>
    <col min="15085" max="15085" width="11.140625" style="565" customWidth="1"/>
    <col min="15086" max="15086" width="12.42578125" style="565" customWidth="1"/>
    <col min="15087" max="15092" width="9.7109375" style="565" customWidth="1"/>
    <col min="15093" max="15093" width="6.140625" style="565" customWidth="1"/>
    <col min="15094" max="15323" width="9.140625" style="565"/>
    <col min="15324" max="15324" width="6.85546875" style="565" customWidth="1"/>
    <col min="15325" max="15325" width="27.42578125" style="565" customWidth="1"/>
    <col min="15326" max="15326" width="12.85546875" style="565" customWidth="1"/>
    <col min="15327" max="15327" width="0" style="565" hidden="1" customWidth="1"/>
    <col min="15328" max="15328" width="40.42578125" style="565" customWidth="1"/>
    <col min="15329" max="15329" width="9.140625" style="565" customWidth="1"/>
    <col min="15330" max="15331" width="11" style="565" customWidth="1"/>
    <col min="15332" max="15332" width="12.28515625" style="565" customWidth="1"/>
    <col min="15333" max="15335" width="12.85546875" style="565" customWidth="1"/>
    <col min="15336" max="15336" width="10.7109375" style="565" customWidth="1"/>
    <col min="15337" max="15337" width="12.7109375" style="565" customWidth="1"/>
    <col min="15338" max="15338" width="10.85546875" style="565" customWidth="1"/>
    <col min="15339" max="15339" width="11.28515625" style="565" customWidth="1"/>
    <col min="15340" max="15340" width="9.7109375" style="565" customWidth="1"/>
    <col min="15341" max="15341" width="11.140625" style="565" customWidth="1"/>
    <col min="15342" max="15342" width="12.42578125" style="565" customWidth="1"/>
    <col min="15343" max="15348" width="9.7109375" style="565" customWidth="1"/>
    <col min="15349" max="15349" width="6.140625" style="565" customWidth="1"/>
    <col min="15350" max="15579" width="9.140625" style="565"/>
    <col min="15580" max="15580" width="6.85546875" style="565" customWidth="1"/>
    <col min="15581" max="15581" width="27.42578125" style="565" customWidth="1"/>
    <col min="15582" max="15582" width="12.85546875" style="565" customWidth="1"/>
    <col min="15583" max="15583" width="0" style="565" hidden="1" customWidth="1"/>
    <col min="15584" max="15584" width="40.42578125" style="565" customWidth="1"/>
    <col min="15585" max="15585" width="9.140625" style="565" customWidth="1"/>
    <col min="15586" max="15587" width="11" style="565" customWidth="1"/>
    <col min="15588" max="15588" width="12.28515625" style="565" customWidth="1"/>
    <col min="15589" max="15591" width="12.85546875" style="565" customWidth="1"/>
    <col min="15592" max="15592" width="10.7109375" style="565" customWidth="1"/>
    <col min="15593" max="15593" width="12.7109375" style="565" customWidth="1"/>
    <col min="15594" max="15594" width="10.85546875" style="565" customWidth="1"/>
    <col min="15595" max="15595" width="11.28515625" style="565" customWidth="1"/>
    <col min="15596" max="15596" width="9.7109375" style="565" customWidth="1"/>
    <col min="15597" max="15597" width="11.140625" style="565" customWidth="1"/>
    <col min="15598" max="15598" width="12.42578125" style="565" customWidth="1"/>
    <col min="15599" max="15604" width="9.7109375" style="565" customWidth="1"/>
    <col min="15605" max="15605" width="6.140625" style="565" customWidth="1"/>
    <col min="15606" max="15835" width="9.140625" style="565"/>
    <col min="15836" max="15836" width="6.85546875" style="565" customWidth="1"/>
    <col min="15837" max="15837" width="27.42578125" style="565" customWidth="1"/>
    <col min="15838" max="15838" width="12.85546875" style="565" customWidth="1"/>
    <col min="15839" max="15839" width="0" style="565" hidden="1" customWidth="1"/>
    <col min="15840" max="15840" width="40.42578125" style="565" customWidth="1"/>
    <col min="15841" max="15841" width="9.140625" style="565" customWidth="1"/>
    <col min="15842" max="15843" width="11" style="565" customWidth="1"/>
    <col min="15844" max="15844" width="12.28515625" style="565" customWidth="1"/>
    <col min="15845" max="15847" width="12.85546875" style="565" customWidth="1"/>
    <col min="15848" max="15848" width="10.7109375" style="565" customWidth="1"/>
    <col min="15849" max="15849" width="12.7109375" style="565" customWidth="1"/>
    <col min="15850" max="15850" width="10.85546875" style="565" customWidth="1"/>
    <col min="15851" max="15851" width="11.28515625" style="565" customWidth="1"/>
    <col min="15852" max="15852" width="9.7109375" style="565" customWidth="1"/>
    <col min="15853" max="15853" width="11.140625" style="565" customWidth="1"/>
    <col min="15854" max="15854" width="12.42578125" style="565" customWidth="1"/>
    <col min="15855" max="15860" width="9.7109375" style="565" customWidth="1"/>
    <col min="15861" max="15861" width="6.140625" style="565" customWidth="1"/>
    <col min="15862" max="16091" width="9.140625" style="565"/>
    <col min="16092" max="16092" width="6.85546875" style="565" customWidth="1"/>
    <col min="16093" max="16093" width="27.42578125" style="565" customWidth="1"/>
    <col min="16094" max="16094" width="12.85546875" style="565" customWidth="1"/>
    <col min="16095" max="16095" width="0" style="565" hidden="1" customWidth="1"/>
    <col min="16096" max="16096" width="40.42578125" style="565" customWidth="1"/>
    <col min="16097" max="16097" width="9.140625" style="565" customWidth="1"/>
    <col min="16098" max="16099" width="11" style="565" customWidth="1"/>
    <col min="16100" max="16100" width="12.28515625" style="565" customWidth="1"/>
    <col min="16101" max="16103" width="12.85546875" style="565" customWidth="1"/>
    <col min="16104" max="16104" width="10.7109375" style="565" customWidth="1"/>
    <col min="16105" max="16105" width="12.7109375" style="565" customWidth="1"/>
    <col min="16106" max="16106" width="10.85546875" style="565" customWidth="1"/>
    <col min="16107" max="16107" width="11.28515625" style="565" customWidth="1"/>
    <col min="16108" max="16108" width="9.7109375" style="565" customWidth="1"/>
    <col min="16109" max="16109" width="11.140625" style="565" customWidth="1"/>
    <col min="16110" max="16110" width="12.42578125" style="565" customWidth="1"/>
    <col min="16111" max="16116" width="9.7109375" style="565" customWidth="1"/>
    <col min="16117" max="16117" width="6.140625" style="565" customWidth="1"/>
    <col min="16118" max="16384" width="9.140625" style="565"/>
  </cols>
  <sheetData>
    <row r="1" spans="1:32" ht="22.15" customHeight="1">
      <c r="A1" s="641" t="s">
        <v>1096</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row>
    <row r="2" spans="1:32" ht="46.5" customHeight="1">
      <c r="A2" s="640" t="s">
        <v>1215</v>
      </c>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13"/>
      <c r="AD2" s="613"/>
    </row>
    <row r="3" spans="1:32" ht="21.75" customHeight="1">
      <c r="A3" s="640" t="s">
        <v>1218</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13"/>
      <c r="AD3" s="613"/>
    </row>
    <row r="4" spans="1:32" ht="21.75" customHeight="1">
      <c r="A4" s="642" t="s">
        <v>1239</v>
      </c>
      <c r="B4" s="642"/>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row>
    <row r="5" spans="1:32" ht="24.75" customHeight="1">
      <c r="A5" s="566"/>
      <c r="B5" s="579"/>
      <c r="C5" s="566"/>
      <c r="D5" s="566"/>
      <c r="E5" s="566"/>
      <c r="F5" s="566"/>
      <c r="G5" s="566"/>
      <c r="H5" s="643" t="s">
        <v>1190</v>
      </c>
      <c r="I5" s="643"/>
      <c r="J5" s="643"/>
      <c r="K5" s="643"/>
      <c r="L5" s="643"/>
      <c r="M5" s="643"/>
      <c r="N5" s="643"/>
      <c r="O5" s="643"/>
      <c r="P5" s="643"/>
      <c r="Q5" s="643"/>
      <c r="R5" s="643"/>
      <c r="S5" s="643"/>
      <c r="T5" s="643"/>
      <c r="U5" s="643"/>
      <c r="V5" s="643"/>
      <c r="W5" s="643"/>
      <c r="X5" s="643"/>
      <c r="Y5" s="643"/>
      <c r="Z5" s="643"/>
      <c r="AA5" s="643"/>
      <c r="AB5" s="643"/>
    </row>
    <row r="6" spans="1:32" ht="37.5" customHeight="1">
      <c r="A6" s="644" t="s">
        <v>1</v>
      </c>
      <c r="B6" s="645" t="s">
        <v>2</v>
      </c>
      <c r="C6" s="630" t="s">
        <v>3</v>
      </c>
      <c r="D6" s="630" t="s">
        <v>1205</v>
      </c>
      <c r="E6" s="630" t="s">
        <v>1192</v>
      </c>
      <c r="F6" s="630" t="s">
        <v>1191</v>
      </c>
      <c r="G6" s="630" t="s">
        <v>5</v>
      </c>
      <c r="H6" s="647" t="s">
        <v>1177</v>
      </c>
      <c r="I6" s="635" t="s">
        <v>1202</v>
      </c>
      <c r="J6" s="635"/>
      <c r="K6" s="635"/>
      <c r="L6" s="635"/>
      <c r="M6" s="648" t="s">
        <v>1193</v>
      </c>
      <c r="N6" s="649"/>
      <c r="O6" s="650"/>
      <c r="P6" s="630" t="s">
        <v>1194</v>
      </c>
      <c r="Q6" s="630" t="s">
        <v>1204</v>
      </c>
      <c r="R6" s="635" t="s">
        <v>1207</v>
      </c>
      <c r="S6" s="635"/>
      <c r="T6" s="635"/>
      <c r="U6" s="635"/>
      <c r="V6" s="635"/>
      <c r="W6" s="635"/>
      <c r="X6" s="635" t="s">
        <v>1208</v>
      </c>
      <c r="Y6" s="635"/>
      <c r="Z6" s="635"/>
      <c r="AA6" s="630" t="s">
        <v>918</v>
      </c>
      <c r="AB6" s="630" t="s">
        <v>8</v>
      </c>
    </row>
    <row r="7" spans="1:32" ht="48" customHeight="1">
      <c r="A7" s="635"/>
      <c r="B7" s="646"/>
      <c r="C7" s="631"/>
      <c r="D7" s="631"/>
      <c r="E7" s="631"/>
      <c r="F7" s="631"/>
      <c r="G7" s="631"/>
      <c r="H7" s="631"/>
      <c r="I7" s="635"/>
      <c r="J7" s="635"/>
      <c r="K7" s="635"/>
      <c r="L7" s="635"/>
      <c r="M7" s="630" t="s">
        <v>9</v>
      </c>
      <c r="N7" s="636" t="s">
        <v>703</v>
      </c>
      <c r="O7" s="636"/>
      <c r="P7" s="631"/>
      <c r="Q7" s="631"/>
      <c r="R7" s="630" t="s">
        <v>9</v>
      </c>
      <c r="S7" s="651" t="s">
        <v>703</v>
      </c>
      <c r="T7" s="652"/>
      <c r="U7" s="635" t="s">
        <v>1184</v>
      </c>
      <c r="V7" s="635"/>
      <c r="W7" s="635"/>
      <c r="X7" s="635"/>
      <c r="Y7" s="635"/>
      <c r="Z7" s="635"/>
      <c r="AA7" s="631"/>
      <c r="AB7" s="631"/>
    </row>
    <row r="8" spans="1:32" ht="27.75" customHeight="1">
      <c r="A8" s="644"/>
      <c r="B8" s="645"/>
      <c r="C8" s="631"/>
      <c r="D8" s="631"/>
      <c r="E8" s="631"/>
      <c r="F8" s="631"/>
      <c r="G8" s="631"/>
      <c r="H8" s="631"/>
      <c r="I8" s="635" t="s">
        <v>1203</v>
      </c>
      <c r="J8" s="635" t="s">
        <v>9</v>
      </c>
      <c r="K8" s="636" t="s">
        <v>703</v>
      </c>
      <c r="L8" s="636"/>
      <c r="M8" s="631"/>
      <c r="N8" s="633" t="s">
        <v>10</v>
      </c>
      <c r="O8" s="630" t="s">
        <v>11</v>
      </c>
      <c r="P8" s="631"/>
      <c r="Q8" s="631"/>
      <c r="R8" s="631"/>
      <c r="S8" s="633" t="s">
        <v>1185</v>
      </c>
      <c r="T8" s="630" t="s">
        <v>1186</v>
      </c>
      <c r="U8" s="635" t="s">
        <v>9</v>
      </c>
      <c r="V8" s="636" t="s">
        <v>703</v>
      </c>
      <c r="W8" s="636"/>
      <c r="X8" s="635" t="s">
        <v>9</v>
      </c>
      <c r="Y8" s="636" t="s">
        <v>703</v>
      </c>
      <c r="Z8" s="636"/>
      <c r="AA8" s="631"/>
      <c r="AB8" s="631"/>
    </row>
    <row r="9" spans="1:32" ht="74.25" customHeight="1">
      <c r="A9" s="644"/>
      <c r="B9" s="645"/>
      <c r="C9" s="632"/>
      <c r="D9" s="632"/>
      <c r="E9" s="632"/>
      <c r="F9" s="632"/>
      <c r="G9" s="632"/>
      <c r="H9" s="632"/>
      <c r="I9" s="635"/>
      <c r="J9" s="635"/>
      <c r="K9" s="575" t="s">
        <v>10</v>
      </c>
      <c r="L9" s="615" t="s">
        <v>11</v>
      </c>
      <c r="M9" s="632"/>
      <c r="N9" s="634"/>
      <c r="O9" s="632"/>
      <c r="P9" s="632"/>
      <c r="Q9" s="632"/>
      <c r="R9" s="632"/>
      <c r="S9" s="634"/>
      <c r="T9" s="632"/>
      <c r="U9" s="635"/>
      <c r="V9" s="575" t="s">
        <v>1185</v>
      </c>
      <c r="W9" s="615" t="s">
        <v>1186</v>
      </c>
      <c r="X9" s="635"/>
      <c r="Y9" s="575" t="s">
        <v>1185</v>
      </c>
      <c r="Z9" s="623" t="s">
        <v>1186</v>
      </c>
      <c r="AA9" s="632"/>
      <c r="AB9" s="632"/>
    </row>
    <row r="10" spans="1:32" ht="24.75" customHeight="1">
      <c r="A10" s="4" t="s">
        <v>48</v>
      </c>
      <c r="B10" s="4" t="s">
        <v>49</v>
      </c>
      <c r="C10" s="4" t="s">
        <v>1083</v>
      </c>
      <c r="D10" s="567">
        <v>1</v>
      </c>
      <c r="E10" s="567">
        <v>2</v>
      </c>
      <c r="F10" s="567">
        <v>3</v>
      </c>
      <c r="G10" s="567">
        <v>4</v>
      </c>
      <c r="H10" s="567">
        <v>5</v>
      </c>
      <c r="I10" s="567">
        <v>6</v>
      </c>
      <c r="J10" s="567" t="s">
        <v>1214</v>
      </c>
      <c r="K10" s="567">
        <v>8</v>
      </c>
      <c r="L10" s="567">
        <v>9</v>
      </c>
      <c r="M10" s="567" t="s">
        <v>1213</v>
      </c>
      <c r="N10" s="567">
        <v>11</v>
      </c>
      <c r="O10" s="567">
        <v>12</v>
      </c>
      <c r="P10" s="567">
        <v>13</v>
      </c>
      <c r="Q10" s="567">
        <v>14</v>
      </c>
      <c r="R10" s="567" t="s">
        <v>1211</v>
      </c>
      <c r="S10" s="567" t="s">
        <v>1231</v>
      </c>
      <c r="T10" s="567" t="s">
        <v>1232</v>
      </c>
      <c r="U10" s="567">
        <v>18</v>
      </c>
      <c r="V10" s="567">
        <v>19</v>
      </c>
      <c r="W10" s="567">
        <v>20</v>
      </c>
      <c r="X10" s="567" t="s">
        <v>1212</v>
      </c>
      <c r="Y10" s="567" t="s">
        <v>1233</v>
      </c>
      <c r="Z10" s="567" t="s">
        <v>1234</v>
      </c>
      <c r="AA10" s="567">
        <v>24</v>
      </c>
      <c r="AB10" s="567">
        <v>25</v>
      </c>
    </row>
    <row r="11" spans="1:32" ht="36.75" customHeight="1">
      <c r="A11" s="4"/>
      <c r="B11" s="617" t="s">
        <v>1176</v>
      </c>
      <c r="C11" s="4"/>
      <c r="D11" s="567"/>
      <c r="E11" s="567"/>
      <c r="F11" s="567"/>
      <c r="G11" s="4"/>
      <c r="H11" s="561"/>
      <c r="I11" s="588"/>
      <c r="J11" s="475">
        <f>+K11+L11</f>
        <v>2500</v>
      </c>
      <c r="K11" s="475">
        <f>+K12</f>
        <v>2458.4299999999998</v>
      </c>
      <c r="L11" s="475">
        <f>+L12</f>
        <v>41.57</v>
      </c>
      <c r="M11" s="475">
        <f t="shared" ref="M11:O11" si="0">+M12</f>
        <v>2500</v>
      </c>
      <c r="N11" s="475">
        <f t="shared" si="0"/>
        <v>2458.4299999999998</v>
      </c>
      <c r="O11" s="475">
        <f t="shared" si="0"/>
        <v>41.57</v>
      </c>
      <c r="P11" s="577"/>
      <c r="Q11" s="475"/>
      <c r="R11" s="475">
        <f>+R12</f>
        <v>2500</v>
      </c>
      <c r="S11" s="475">
        <f t="shared" ref="S11:Z11" si="1">+S12</f>
        <v>2458.4299999999998</v>
      </c>
      <c r="T11" s="475">
        <f t="shared" si="1"/>
        <v>41.57</v>
      </c>
      <c r="U11" s="475">
        <f t="shared" si="1"/>
        <v>2500</v>
      </c>
      <c r="V11" s="475">
        <f t="shared" si="1"/>
        <v>2458.4299999999998</v>
      </c>
      <c r="W11" s="475">
        <f t="shared" si="1"/>
        <v>41.57</v>
      </c>
      <c r="X11" s="475">
        <f t="shared" si="1"/>
        <v>2500</v>
      </c>
      <c r="Y11" s="475">
        <f t="shared" si="1"/>
        <v>2458.4299999999998</v>
      </c>
      <c r="Z11" s="475">
        <f t="shared" si="1"/>
        <v>41.57</v>
      </c>
      <c r="AA11" s="561"/>
      <c r="AB11" s="323"/>
      <c r="AD11" s="584" t="e">
        <f>+#REF!+#REF!+#REF!+#REF!+#REF!+#REF!+#REF!+#REF!+#REF!+#REF!+#REF!+#REF!+#REF!+#REF!+#REF!+#REF!+#REF!</f>
        <v>#REF!</v>
      </c>
      <c r="AE11" s="584" t="e">
        <f>+#REF!+#REF!+#REF!+#REF!+#REF!+#REF!+#REF!+#REF!+#REF!+#REF!+#REF!+#REF!+#REF!+#REF!+#REF!+#REF!+#REF!</f>
        <v>#REF!</v>
      </c>
      <c r="AF11" s="584" t="e">
        <f>+#REF!+#REF!+#REF!+#REF!+#REF!+#REF!+#REF!+#REF!+#REF!+#REF!+#REF!+#REF!+#REF!+#REF!+#REF!+#REF!+#REF!</f>
        <v>#REF!</v>
      </c>
    </row>
    <row r="12" spans="1:32" ht="63.75" customHeight="1">
      <c r="A12" s="617" t="s">
        <v>985</v>
      </c>
      <c r="B12" s="589" t="s">
        <v>1217</v>
      </c>
      <c r="C12" s="12"/>
      <c r="D12" s="591"/>
      <c r="E12" s="591"/>
      <c r="F12" s="591"/>
      <c r="G12" s="12"/>
      <c r="H12" s="561"/>
      <c r="I12" s="588"/>
      <c r="J12" s="475">
        <f t="shared" ref="J12:Y13" si="2">+J13</f>
        <v>2500</v>
      </c>
      <c r="K12" s="475">
        <f t="shared" si="2"/>
        <v>2458.4299999999998</v>
      </c>
      <c r="L12" s="475">
        <f t="shared" si="2"/>
        <v>41.57</v>
      </c>
      <c r="M12" s="475">
        <f t="shared" si="2"/>
        <v>2500</v>
      </c>
      <c r="N12" s="475">
        <f t="shared" si="2"/>
        <v>2458.4299999999998</v>
      </c>
      <c r="O12" s="475">
        <f t="shared" si="2"/>
        <v>41.57</v>
      </c>
      <c r="P12" s="577"/>
      <c r="Q12" s="577"/>
      <c r="R12" s="475">
        <f t="shared" si="2"/>
        <v>2500</v>
      </c>
      <c r="S12" s="475">
        <f t="shared" si="2"/>
        <v>2458.4299999999998</v>
      </c>
      <c r="T12" s="475">
        <f t="shared" si="2"/>
        <v>41.57</v>
      </c>
      <c r="U12" s="475">
        <f t="shared" si="2"/>
        <v>2500</v>
      </c>
      <c r="V12" s="475">
        <f t="shared" si="2"/>
        <v>2458.4299999999998</v>
      </c>
      <c r="W12" s="475">
        <f t="shared" si="2"/>
        <v>41.57</v>
      </c>
      <c r="X12" s="475">
        <f t="shared" si="2"/>
        <v>2500</v>
      </c>
      <c r="Y12" s="475">
        <f t="shared" si="2"/>
        <v>2458.4299999999998</v>
      </c>
      <c r="Z12" s="475">
        <f t="shared" ref="Y12:Z13" si="3">+Z13</f>
        <v>41.57</v>
      </c>
      <c r="AA12" s="561"/>
      <c r="AB12" s="323"/>
      <c r="AE12" s="583" t="e">
        <f>+#REF!-737.447908</f>
        <v>#REF!</v>
      </c>
    </row>
    <row r="13" spans="1:32" s="568" customFormat="1" ht="82.5" customHeight="1">
      <c r="A13" s="562" t="s">
        <v>16</v>
      </c>
      <c r="B13" s="590" t="s">
        <v>47</v>
      </c>
      <c r="C13" s="128"/>
      <c r="D13" s="574"/>
      <c r="E13" s="574"/>
      <c r="F13" s="574"/>
      <c r="G13" s="128"/>
      <c r="H13" s="412"/>
      <c r="I13" s="576"/>
      <c r="J13" s="475">
        <f>+J14</f>
        <v>2500</v>
      </c>
      <c r="K13" s="475">
        <f t="shared" si="2"/>
        <v>2458.4299999999998</v>
      </c>
      <c r="L13" s="475">
        <f t="shared" si="2"/>
        <v>41.57</v>
      </c>
      <c r="M13" s="475">
        <f t="shared" si="2"/>
        <v>2500</v>
      </c>
      <c r="N13" s="475">
        <f t="shared" si="2"/>
        <v>2458.4299999999998</v>
      </c>
      <c r="O13" s="475">
        <f t="shared" si="2"/>
        <v>41.57</v>
      </c>
      <c r="P13" s="475">
        <f t="shared" si="2"/>
        <v>0</v>
      </c>
      <c r="Q13" s="475">
        <f t="shared" si="2"/>
        <v>0</v>
      </c>
      <c r="R13" s="475">
        <f t="shared" si="2"/>
        <v>2500</v>
      </c>
      <c r="S13" s="475">
        <f t="shared" si="2"/>
        <v>2458.4299999999998</v>
      </c>
      <c r="T13" s="475">
        <f t="shared" si="2"/>
        <v>41.57</v>
      </c>
      <c r="U13" s="475">
        <f t="shared" si="2"/>
        <v>2500</v>
      </c>
      <c r="V13" s="475">
        <f t="shared" si="2"/>
        <v>2458.4299999999998</v>
      </c>
      <c r="W13" s="475">
        <f t="shared" si="2"/>
        <v>41.57</v>
      </c>
      <c r="X13" s="475">
        <f t="shared" si="2"/>
        <v>2500</v>
      </c>
      <c r="Y13" s="475">
        <f t="shared" si="3"/>
        <v>2458.4299999999998</v>
      </c>
      <c r="Z13" s="475">
        <f t="shared" si="3"/>
        <v>41.57</v>
      </c>
      <c r="AA13" s="412"/>
      <c r="AB13" s="475"/>
      <c r="AD13" s="585">
        <f>+V13-54267.271815</f>
        <v>-51808.841815</v>
      </c>
      <c r="AE13" s="586">
        <f>+U13-55402.764815</f>
        <v>-52902.764815000002</v>
      </c>
    </row>
    <row r="14" spans="1:32" s="568" customFormat="1" ht="36" customHeight="1">
      <c r="A14" s="616" t="s">
        <v>987</v>
      </c>
      <c r="B14" s="621" t="s">
        <v>1187</v>
      </c>
      <c r="C14" s="574"/>
      <c r="D14" s="574"/>
      <c r="E14" s="574"/>
      <c r="F14" s="574"/>
      <c r="G14" s="574"/>
      <c r="H14" s="576"/>
      <c r="I14" s="576"/>
      <c r="J14" s="612">
        <f t="shared" ref="J14:O14" si="4">SUM(J15:J18)</f>
        <v>2500</v>
      </c>
      <c r="K14" s="612">
        <f t="shared" si="4"/>
        <v>2458.4299999999998</v>
      </c>
      <c r="L14" s="612">
        <f t="shared" si="4"/>
        <v>41.57</v>
      </c>
      <c r="M14" s="612">
        <f t="shared" si="4"/>
        <v>2500</v>
      </c>
      <c r="N14" s="612">
        <f t="shared" si="4"/>
        <v>2458.4299999999998</v>
      </c>
      <c r="O14" s="612">
        <f t="shared" si="4"/>
        <v>41.57</v>
      </c>
      <c r="P14" s="612"/>
      <c r="Q14" s="612"/>
      <c r="R14" s="612">
        <f t="shared" ref="R14:X14" si="5">SUM(R15:R18)</f>
        <v>2500</v>
      </c>
      <c r="S14" s="612">
        <f t="shared" si="5"/>
        <v>2458.4299999999998</v>
      </c>
      <c r="T14" s="612">
        <f t="shared" si="5"/>
        <v>41.57</v>
      </c>
      <c r="U14" s="612">
        <f t="shared" si="5"/>
        <v>2500</v>
      </c>
      <c r="V14" s="612">
        <f t="shared" si="5"/>
        <v>2458.4299999999998</v>
      </c>
      <c r="W14" s="612">
        <f t="shared" si="5"/>
        <v>41.57</v>
      </c>
      <c r="X14" s="612">
        <f t="shared" si="5"/>
        <v>2500</v>
      </c>
      <c r="Y14" s="612">
        <f t="shared" ref="Y14:Z14" si="6">SUM(Y15:Y18)</f>
        <v>2458.4299999999998</v>
      </c>
      <c r="Z14" s="612">
        <f t="shared" si="6"/>
        <v>41.57</v>
      </c>
      <c r="AA14" s="576"/>
      <c r="AB14" s="577"/>
      <c r="AD14" s="585"/>
      <c r="AE14" s="586"/>
    </row>
    <row r="15" spans="1:32" s="568" customFormat="1" ht="91.5" customHeight="1">
      <c r="A15" s="569">
        <v>1</v>
      </c>
      <c r="B15" s="582" t="s">
        <v>1219</v>
      </c>
      <c r="C15" s="569" t="s">
        <v>186</v>
      </c>
      <c r="D15" s="593"/>
      <c r="E15" s="593" t="s">
        <v>1195</v>
      </c>
      <c r="F15" s="593">
        <v>283</v>
      </c>
      <c r="G15" s="593" t="s">
        <v>54</v>
      </c>
      <c r="H15" s="564" t="s">
        <v>1183</v>
      </c>
      <c r="I15" s="592" t="s">
        <v>1235</v>
      </c>
      <c r="J15" s="587">
        <f t="shared" ref="J15:J18" si="7">+K15+L15</f>
        <v>800</v>
      </c>
      <c r="K15" s="587">
        <v>800</v>
      </c>
      <c r="L15" s="587"/>
      <c r="M15" s="587">
        <f t="shared" ref="M15:M18" si="8">+N15+O15</f>
        <v>800</v>
      </c>
      <c r="N15" s="587">
        <v>800</v>
      </c>
      <c r="O15" s="587"/>
      <c r="P15" s="587"/>
      <c r="Q15" s="587"/>
      <c r="R15" s="580">
        <f>+S15+T15</f>
        <v>800</v>
      </c>
      <c r="S15" s="580">
        <f>+V15</f>
        <v>800</v>
      </c>
      <c r="T15" s="580">
        <f>+W15</f>
        <v>0</v>
      </c>
      <c r="U15" s="587">
        <f>+V15+W15</f>
        <v>800</v>
      </c>
      <c r="V15" s="587">
        <v>800</v>
      </c>
      <c r="W15" s="587"/>
      <c r="X15" s="619">
        <f>+Y15+Z15</f>
        <v>800</v>
      </c>
      <c r="Y15" s="587">
        <v>800</v>
      </c>
      <c r="Z15" s="587"/>
      <c r="AA15" s="637" t="s">
        <v>1188</v>
      </c>
      <c r="AB15" s="618"/>
      <c r="AD15" s="585"/>
      <c r="AE15" s="586"/>
    </row>
    <row r="16" spans="1:32" s="568" customFormat="1" ht="87.75" customHeight="1">
      <c r="A16" s="8">
        <f>+A15+1</f>
        <v>2</v>
      </c>
      <c r="B16" s="582" t="s">
        <v>1220</v>
      </c>
      <c r="C16" s="569" t="s">
        <v>1221</v>
      </c>
      <c r="D16" s="593"/>
      <c r="E16" s="593" t="str">
        <f>+E15</f>
        <v>KBNN huyện Na Rì</v>
      </c>
      <c r="F16" s="593">
        <v>262</v>
      </c>
      <c r="G16" s="593" t="str">
        <f>+G15</f>
        <v>Năm 2024</v>
      </c>
      <c r="H16" s="563" t="s">
        <v>1182</v>
      </c>
      <c r="I16" s="592" t="s">
        <v>1237</v>
      </c>
      <c r="J16" s="580">
        <f t="shared" si="7"/>
        <v>1000</v>
      </c>
      <c r="K16" s="580">
        <v>958.43</v>
      </c>
      <c r="L16" s="580">
        <v>41.57</v>
      </c>
      <c r="M16" s="580">
        <f t="shared" si="8"/>
        <v>1000</v>
      </c>
      <c r="N16" s="580">
        <v>958.43</v>
      </c>
      <c r="O16" s="580">
        <v>41.57</v>
      </c>
      <c r="P16" s="580"/>
      <c r="Q16" s="580"/>
      <c r="R16" s="580">
        <f t="shared" ref="R16" si="9">+S16+T16</f>
        <v>1000</v>
      </c>
      <c r="S16" s="580">
        <f t="shared" ref="S16:S18" si="10">+V16</f>
        <v>958.43</v>
      </c>
      <c r="T16" s="580">
        <f t="shared" ref="T16:T18" si="11">+W16</f>
        <v>41.57</v>
      </c>
      <c r="U16" s="580">
        <f>+V16+W16</f>
        <v>1000</v>
      </c>
      <c r="V16" s="580">
        <v>958.43</v>
      </c>
      <c r="W16" s="580">
        <v>41.57</v>
      </c>
      <c r="X16" s="619">
        <f t="shared" ref="X16:X18" si="12">+Y16+Z16</f>
        <v>1000</v>
      </c>
      <c r="Y16" s="580">
        <v>958.43</v>
      </c>
      <c r="Z16" s="580">
        <v>41.57</v>
      </c>
      <c r="AA16" s="638"/>
      <c r="AB16" s="618"/>
      <c r="AD16" s="585"/>
      <c r="AE16" s="586"/>
    </row>
    <row r="17" spans="1:31" s="568" customFormat="1" ht="88.5" customHeight="1">
      <c r="A17" s="8">
        <f t="shared" ref="A17:A18" si="13">+A16+1</f>
        <v>3</v>
      </c>
      <c r="B17" s="582" t="s">
        <v>1222</v>
      </c>
      <c r="C17" s="569" t="s">
        <v>1223</v>
      </c>
      <c r="D17" s="593"/>
      <c r="E17" s="593" t="str">
        <f t="shared" ref="E17:E18" si="14">+E16</f>
        <v>KBNN huyện Na Rì</v>
      </c>
      <c r="F17" s="622" t="s">
        <v>1226</v>
      </c>
      <c r="G17" s="594" t="str">
        <f>+G16</f>
        <v>Năm 2024</v>
      </c>
      <c r="H17" s="564" t="s">
        <v>1180</v>
      </c>
      <c r="I17" s="592" t="s">
        <v>1236</v>
      </c>
      <c r="J17" s="587">
        <f t="shared" si="7"/>
        <v>400</v>
      </c>
      <c r="K17" s="580">
        <v>400</v>
      </c>
      <c r="L17" s="580"/>
      <c r="M17" s="587">
        <f t="shared" si="8"/>
        <v>400</v>
      </c>
      <c r="N17" s="580">
        <v>400</v>
      </c>
      <c r="O17" s="580"/>
      <c r="P17" s="580"/>
      <c r="Q17" s="580"/>
      <c r="R17" s="580">
        <f>+S17+T17</f>
        <v>400</v>
      </c>
      <c r="S17" s="580">
        <f t="shared" si="10"/>
        <v>400</v>
      </c>
      <c r="T17" s="580">
        <f t="shared" si="11"/>
        <v>0</v>
      </c>
      <c r="U17" s="580">
        <f>+V17+W17</f>
        <v>400</v>
      </c>
      <c r="V17" s="580">
        <v>400</v>
      </c>
      <c r="W17" s="580"/>
      <c r="X17" s="619">
        <f t="shared" si="12"/>
        <v>400</v>
      </c>
      <c r="Y17" s="580">
        <v>400</v>
      </c>
      <c r="Z17" s="580"/>
      <c r="AA17" s="638"/>
      <c r="AB17" s="618"/>
      <c r="AD17" s="585"/>
      <c r="AE17" s="586"/>
    </row>
    <row r="18" spans="1:31" s="568" customFormat="1" ht="95.25" customHeight="1">
      <c r="A18" s="8">
        <f t="shared" si="13"/>
        <v>4</v>
      </c>
      <c r="B18" s="581" t="s">
        <v>1224</v>
      </c>
      <c r="C18" s="569" t="s">
        <v>1225</v>
      </c>
      <c r="D18" s="593"/>
      <c r="E18" s="593" t="str">
        <f t="shared" si="14"/>
        <v>KBNN huyện Na Rì</v>
      </c>
      <c r="F18" s="593">
        <v>292</v>
      </c>
      <c r="G18" s="594" t="str">
        <f>+G17</f>
        <v>Năm 2024</v>
      </c>
      <c r="H18" s="564" t="s">
        <v>1181</v>
      </c>
      <c r="I18" s="592" t="s">
        <v>1238</v>
      </c>
      <c r="J18" s="587">
        <f t="shared" si="7"/>
        <v>300</v>
      </c>
      <c r="K18" s="587">
        <v>300</v>
      </c>
      <c r="L18" s="587"/>
      <c r="M18" s="587">
        <f t="shared" si="8"/>
        <v>300</v>
      </c>
      <c r="N18" s="587">
        <v>300</v>
      </c>
      <c r="O18" s="587"/>
      <c r="P18" s="587"/>
      <c r="Q18" s="587"/>
      <c r="R18" s="580">
        <f t="shared" ref="R18" si="15">+S18+T18</f>
        <v>300</v>
      </c>
      <c r="S18" s="580">
        <f t="shared" si="10"/>
        <v>300</v>
      </c>
      <c r="T18" s="580">
        <f t="shared" si="11"/>
        <v>0</v>
      </c>
      <c r="U18" s="587">
        <f t="shared" ref="U18" si="16">+V18+W18</f>
        <v>300</v>
      </c>
      <c r="V18" s="587">
        <v>300</v>
      </c>
      <c r="W18" s="587"/>
      <c r="X18" s="619">
        <f t="shared" si="12"/>
        <v>300</v>
      </c>
      <c r="Y18" s="587">
        <v>300</v>
      </c>
      <c r="Z18" s="587"/>
      <c r="AA18" s="639"/>
      <c r="AB18" s="618"/>
      <c r="AD18" s="585"/>
      <c r="AE18" s="586"/>
    </row>
  </sheetData>
  <mergeCells count="38">
    <mergeCell ref="A3:AB3"/>
    <mergeCell ref="D6:D9"/>
    <mergeCell ref="I6:L7"/>
    <mergeCell ref="E6:E9"/>
    <mergeCell ref="M6:O6"/>
    <mergeCell ref="Q6:Q9"/>
    <mergeCell ref="P6:P9"/>
    <mergeCell ref="N7:O7"/>
    <mergeCell ref="M7:M9"/>
    <mergeCell ref="N8:N9"/>
    <mergeCell ref="O8:O9"/>
    <mergeCell ref="F6:F9"/>
    <mergeCell ref="I8:I9"/>
    <mergeCell ref="AA6:AA9"/>
    <mergeCell ref="R6:W6"/>
    <mergeCell ref="S7:T7"/>
    <mergeCell ref="AA15:AA18"/>
    <mergeCell ref="AB6:AB9"/>
    <mergeCell ref="X6:Z7"/>
    <mergeCell ref="A2:AB2"/>
    <mergeCell ref="A1:AB1"/>
    <mergeCell ref="A4:AB4"/>
    <mergeCell ref="H5:AB5"/>
    <mergeCell ref="A6:A9"/>
    <mergeCell ref="B6:B9"/>
    <mergeCell ref="C6:C9"/>
    <mergeCell ref="G6:G9"/>
    <mergeCell ref="H6:H9"/>
    <mergeCell ref="J8:J9"/>
    <mergeCell ref="K8:L8"/>
    <mergeCell ref="U8:U9"/>
    <mergeCell ref="V8:W8"/>
    <mergeCell ref="R7:R9"/>
    <mergeCell ref="S8:S9"/>
    <mergeCell ref="T8:T9"/>
    <mergeCell ref="X8:X9"/>
    <mergeCell ref="Y8:Z8"/>
    <mergeCell ref="U7:W7"/>
  </mergeCells>
  <pageMargins left="0.39370078740157483" right="0.11811023622047245" top="0.39370078740157483" bottom="0.39370078740157483" header="0.31496062992125984" footer="0.31496062992125984"/>
  <pageSetup paperSize="9" scale="47" fitToHeight="0" orientation="landscape" r:id="rId1"/>
  <headerFooter>
    <oddFooter>&amp;C&amp;"Times New Roman,Regular"&amp;P</oddFooter>
  </headerFooter>
</worksheet>
</file>

<file path=xl/worksheets/sheet3.xml><?xml version="1.0" encoding="utf-8"?>
<worksheet xmlns="http://schemas.openxmlformats.org/spreadsheetml/2006/main" xmlns:r="http://schemas.openxmlformats.org/officeDocument/2006/relationships">
  <sheetPr>
    <tabColor rgb="FFFF0000"/>
    <pageSetUpPr fitToPage="1"/>
  </sheetPr>
  <dimension ref="A1:AR292"/>
  <sheetViews>
    <sheetView topLeftCell="A4" zoomScale="85" zoomScaleNormal="85" workbookViewId="0">
      <selection activeCell="M181" sqref="M181"/>
    </sheetView>
  </sheetViews>
  <sheetFormatPr defaultRowHeight="15"/>
  <cols>
    <col min="1" max="1" width="6.85546875" style="29" customWidth="1"/>
    <col min="2" max="2" width="27.42578125" style="30" customWidth="1"/>
    <col min="3" max="3" width="12.85546875" style="31" customWidth="1"/>
    <col min="4" max="4" width="12.85546875" style="31" hidden="1" customWidth="1"/>
    <col min="5" max="5" width="40.42578125" style="31" hidden="1" customWidth="1"/>
    <col min="6" max="6" width="9.140625" style="1" customWidth="1"/>
    <col min="7" max="7" width="12.85546875" style="32" customWidth="1"/>
    <col min="8" max="8" width="12.85546875" style="296" customWidth="1"/>
    <col min="9" max="9" width="12.85546875" style="139" customWidth="1"/>
    <col min="10" max="10" width="10.7109375" style="32" customWidth="1"/>
    <col min="11" max="11" width="10.7109375" style="491" customWidth="1"/>
    <col min="12" max="12" width="12" style="32" customWidth="1"/>
    <col min="13" max="13" width="10.7109375" style="32" customWidth="1"/>
    <col min="14" max="14" width="10.7109375" style="491" customWidth="1"/>
    <col min="15" max="16" width="10.7109375" style="32" customWidth="1"/>
    <col min="17" max="17" width="11.7109375" style="543" customWidth="1"/>
    <col min="18" max="18" width="11.7109375" style="32" customWidth="1"/>
    <col min="19" max="20" width="10.7109375" style="32" customWidth="1"/>
    <col min="21" max="21" width="12.5703125" style="32" customWidth="1"/>
    <col min="22" max="22" width="11.7109375" style="32" customWidth="1"/>
    <col min="23" max="23" width="10.7109375" style="32" customWidth="1"/>
    <col min="24" max="24" width="12.7109375" style="32" customWidth="1"/>
    <col min="25" max="25" width="10.85546875" style="32" customWidth="1"/>
    <col min="26" max="26" width="13.85546875" style="32" customWidth="1"/>
    <col min="27" max="27" width="11.28515625" style="32" customWidth="1"/>
    <col min="28" max="28" width="11.28515625" style="491" customWidth="1"/>
    <col min="29" max="29" width="14.28515625" style="491" customWidth="1"/>
    <col min="30" max="30" width="11.28515625" style="32" customWidth="1"/>
    <col min="31" max="31" width="11.28515625" style="491" customWidth="1"/>
    <col min="32" max="32" width="14.140625" style="491" customWidth="1"/>
    <col min="33" max="33" width="11.28515625" style="32" customWidth="1"/>
    <col min="34" max="34" width="11.28515625" style="491" customWidth="1"/>
    <col min="35" max="35" width="13.28515625" style="491" customWidth="1"/>
    <col min="36" max="36" width="11.28515625" style="32" customWidth="1"/>
    <col min="37" max="37" width="9.7109375" style="32" customWidth="1"/>
    <col min="38" max="38" width="6.140625" style="31" customWidth="1"/>
    <col min="39" max="41" width="13.7109375" style="365" customWidth="1"/>
    <col min="42" max="268" width="9.140625" style="1"/>
    <col min="269" max="269" width="6.85546875" style="1" customWidth="1"/>
    <col min="270" max="270" width="27.42578125" style="1" customWidth="1"/>
    <col min="271" max="271" width="12.85546875" style="1" customWidth="1"/>
    <col min="272" max="272" width="0" style="1" hidden="1" customWidth="1"/>
    <col min="273" max="273" width="40.42578125" style="1" customWidth="1"/>
    <col min="274" max="274" width="9.140625" style="1" customWidth="1"/>
    <col min="275" max="276" width="11" style="1" customWidth="1"/>
    <col min="277" max="277" width="12.28515625" style="1" customWidth="1"/>
    <col min="278" max="280" width="12.85546875" style="1" customWidth="1"/>
    <col min="281" max="281" width="10.7109375" style="1" customWidth="1"/>
    <col min="282" max="282" width="12.7109375" style="1" customWidth="1"/>
    <col min="283" max="283" width="10.85546875" style="1" customWidth="1"/>
    <col min="284" max="284" width="11.28515625" style="1" customWidth="1"/>
    <col min="285" max="285" width="9.7109375" style="1" customWidth="1"/>
    <col min="286" max="286" width="11.140625" style="1" customWidth="1"/>
    <col min="287" max="287" width="12.42578125" style="1" customWidth="1"/>
    <col min="288" max="293" width="9.7109375" style="1" customWidth="1"/>
    <col min="294" max="294" width="6.140625" style="1" customWidth="1"/>
    <col min="295" max="524" width="9.140625" style="1"/>
    <col min="525" max="525" width="6.85546875" style="1" customWidth="1"/>
    <col min="526" max="526" width="27.42578125" style="1" customWidth="1"/>
    <col min="527" max="527" width="12.85546875" style="1" customWidth="1"/>
    <col min="528" max="528" width="0" style="1" hidden="1" customWidth="1"/>
    <col min="529" max="529" width="40.42578125" style="1" customWidth="1"/>
    <col min="530" max="530" width="9.140625" style="1" customWidth="1"/>
    <col min="531" max="532" width="11" style="1" customWidth="1"/>
    <col min="533" max="533" width="12.28515625" style="1" customWidth="1"/>
    <col min="534" max="536" width="12.85546875" style="1" customWidth="1"/>
    <col min="537" max="537" width="10.7109375" style="1" customWidth="1"/>
    <col min="538" max="538" width="12.7109375" style="1" customWidth="1"/>
    <col min="539" max="539" width="10.85546875" style="1" customWidth="1"/>
    <col min="540" max="540" width="11.28515625" style="1" customWidth="1"/>
    <col min="541" max="541" width="9.7109375" style="1" customWidth="1"/>
    <col min="542" max="542" width="11.140625" style="1" customWidth="1"/>
    <col min="543" max="543" width="12.42578125" style="1" customWidth="1"/>
    <col min="544" max="549" width="9.7109375" style="1" customWidth="1"/>
    <col min="550" max="550" width="6.140625" style="1" customWidth="1"/>
    <col min="551" max="780" width="9.140625" style="1"/>
    <col min="781" max="781" width="6.85546875" style="1" customWidth="1"/>
    <col min="782" max="782" width="27.42578125" style="1" customWidth="1"/>
    <col min="783" max="783" width="12.85546875" style="1" customWidth="1"/>
    <col min="784" max="784" width="0" style="1" hidden="1" customWidth="1"/>
    <col min="785" max="785" width="40.42578125" style="1" customWidth="1"/>
    <col min="786" max="786" width="9.140625" style="1" customWidth="1"/>
    <col min="787" max="788" width="11" style="1" customWidth="1"/>
    <col min="789" max="789" width="12.28515625" style="1" customWidth="1"/>
    <col min="790" max="792" width="12.85546875" style="1" customWidth="1"/>
    <col min="793" max="793" width="10.7109375" style="1" customWidth="1"/>
    <col min="794" max="794" width="12.7109375" style="1" customWidth="1"/>
    <col min="795" max="795" width="10.85546875" style="1" customWidth="1"/>
    <col min="796" max="796" width="11.28515625" style="1" customWidth="1"/>
    <col min="797" max="797" width="9.7109375" style="1" customWidth="1"/>
    <col min="798" max="798" width="11.140625" style="1" customWidth="1"/>
    <col min="799" max="799" width="12.42578125" style="1" customWidth="1"/>
    <col min="800" max="805" width="9.7109375" style="1" customWidth="1"/>
    <col min="806" max="806" width="6.140625" style="1" customWidth="1"/>
    <col min="807" max="1036" width="9.140625" style="1"/>
    <col min="1037" max="1037" width="6.85546875" style="1" customWidth="1"/>
    <col min="1038" max="1038" width="27.42578125" style="1" customWidth="1"/>
    <col min="1039" max="1039" width="12.85546875" style="1" customWidth="1"/>
    <col min="1040" max="1040" width="0" style="1" hidden="1" customWidth="1"/>
    <col min="1041" max="1041" width="40.42578125" style="1" customWidth="1"/>
    <col min="1042" max="1042" width="9.140625" style="1" customWidth="1"/>
    <col min="1043" max="1044" width="11" style="1" customWidth="1"/>
    <col min="1045" max="1045" width="12.28515625" style="1" customWidth="1"/>
    <col min="1046" max="1048" width="12.85546875" style="1" customWidth="1"/>
    <col min="1049" max="1049" width="10.7109375" style="1" customWidth="1"/>
    <col min="1050" max="1050" width="12.7109375" style="1" customWidth="1"/>
    <col min="1051" max="1051" width="10.85546875" style="1" customWidth="1"/>
    <col min="1052" max="1052" width="11.28515625" style="1" customWidth="1"/>
    <col min="1053" max="1053" width="9.7109375" style="1" customWidth="1"/>
    <col min="1054" max="1054" width="11.140625" style="1" customWidth="1"/>
    <col min="1055" max="1055" width="12.42578125" style="1" customWidth="1"/>
    <col min="1056" max="1061" width="9.7109375" style="1" customWidth="1"/>
    <col min="1062" max="1062" width="6.140625" style="1" customWidth="1"/>
    <col min="1063" max="1292" width="9.140625" style="1"/>
    <col min="1293" max="1293" width="6.85546875" style="1" customWidth="1"/>
    <col min="1294" max="1294" width="27.42578125" style="1" customWidth="1"/>
    <col min="1295" max="1295" width="12.85546875" style="1" customWidth="1"/>
    <col min="1296" max="1296" width="0" style="1" hidden="1" customWidth="1"/>
    <col min="1297" max="1297" width="40.42578125" style="1" customWidth="1"/>
    <col min="1298" max="1298" width="9.140625" style="1" customWidth="1"/>
    <col min="1299" max="1300" width="11" style="1" customWidth="1"/>
    <col min="1301" max="1301" width="12.28515625" style="1" customWidth="1"/>
    <col min="1302" max="1304" width="12.85546875" style="1" customWidth="1"/>
    <col min="1305" max="1305" width="10.7109375" style="1" customWidth="1"/>
    <col min="1306" max="1306" width="12.7109375" style="1" customWidth="1"/>
    <col min="1307" max="1307" width="10.85546875" style="1" customWidth="1"/>
    <col min="1308" max="1308" width="11.28515625" style="1" customWidth="1"/>
    <col min="1309" max="1309" width="9.7109375" style="1" customWidth="1"/>
    <col min="1310" max="1310" width="11.140625" style="1" customWidth="1"/>
    <col min="1311" max="1311" width="12.42578125" style="1" customWidth="1"/>
    <col min="1312" max="1317" width="9.7109375" style="1" customWidth="1"/>
    <col min="1318" max="1318" width="6.140625" style="1" customWidth="1"/>
    <col min="1319" max="1548" width="9.140625" style="1"/>
    <col min="1549" max="1549" width="6.85546875" style="1" customWidth="1"/>
    <col min="1550" max="1550" width="27.42578125" style="1" customWidth="1"/>
    <col min="1551" max="1551" width="12.85546875" style="1" customWidth="1"/>
    <col min="1552" max="1552" width="0" style="1" hidden="1" customWidth="1"/>
    <col min="1553" max="1553" width="40.42578125" style="1" customWidth="1"/>
    <col min="1554" max="1554" width="9.140625" style="1" customWidth="1"/>
    <col min="1555" max="1556" width="11" style="1" customWidth="1"/>
    <col min="1557" max="1557" width="12.28515625" style="1" customWidth="1"/>
    <col min="1558" max="1560" width="12.85546875" style="1" customWidth="1"/>
    <col min="1561" max="1561" width="10.7109375" style="1" customWidth="1"/>
    <col min="1562" max="1562" width="12.7109375" style="1" customWidth="1"/>
    <col min="1563" max="1563" width="10.85546875" style="1" customWidth="1"/>
    <col min="1564" max="1564" width="11.28515625" style="1" customWidth="1"/>
    <col min="1565" max="1565" width="9.7109375" style="1" customWidth="1"/>
    <col min="1566" max="1566" width="11.140625" style="1" customWidth="1"/>
    <col min="1567" max="1567" width="12.42578125" style="1" customWidth="1"/>
    <col min="1568" max="1573" width="9.7109375" style="1" customWidth="1"/>
    <col min="1574" max="1574" width="6.140625" style="1" customWidth="1"/>
    <col min="1575" max="1804" width="9.140625" style="1"/>
    <col min="1805" max="1805" width="6.85546875" style="1" customWidth="1"/>
    <col min="1806" max="1806" width="27.42578125" style="1" customWidth="1"/>
    <col min="1807" max="1807" width="12.85546875" style="1" customWidth="1"/>
    <col min="1808" max="1808" width="0" style="1" hidden="1" customWidth="1"/>
    <col min="1809" max="1809" width="40.42578125" style="1" customWidth="1"/>
    <col min="1810" max="1810" width="9.140625" style="1" customWidth="1"/>
    <col min="1811" max="1812" width="11" style="1" customWidth="1"/>
    <col min="1813" max="1813" width="12.28515625" style="1" customWidth="1"/>
    <col min="1814" max="1816" width="12.85546875" style="1" customWidth="1"/>
    <col min="1817" max="1817" width="10.7109375" style="1" customWidth="1"/>
    <col min="1818" max="1818" width="12.7109375" style="1" customWidth="1"/>
    <col min="1819" max="1819" width="10.85546875" style="1" customWidth="1"/>
    <col min="1820" max="1820" width="11.28515625" style="1" customWidth="1"/>
    <col min="1821" max="1821" width="9.7109375" style="1" customWidth="1"/>
    <col min="1822" max="1822" width="11.140625" style="1" customWidth="1"/>
    <col min="1823" max="1823" width="12.42578125" style="1" customWidth="1"/>
    <col min="1824" max="1829" width="9.7109375" style="1" customWidth="1"/>
    <col min="1830" max="1830" width="6.140625" style="1" customWidth="1"/>
    <col min="1831" max="2060" width="9.140625" style="1"/>
    <col min="2061" max="2061" width="6.85546875" style="1" customWidth="1"/>
    <col min="2062" max="2062" width="27.42578125" style="1" customWidth="1"/>
    <col min="2063" max="2063" width="12.85546875" style="1" customWidth="1"/>
    <col min="2064" max="2064" width="0" style="1" hidden="1" customWidth="1"/>
    <col min="2065" max="2065" width="40.42578125" style="1" customWidth="1"/>
    <col min="2066" max="2066" width="9.140625" style="1" customWidth="1"/>
    <col min="2067" max="2068" width="11" style="1" customWidth="1"/>
    <col min="2069" max="2069" width="12.28515625" style="1" customWidth="1"/>
    <col min="2070" max="2072" width="12.85546875" style="1" customWidth="1"/>
    <col min="2073" max="2073" width="10.7109375" style="1" customWidth="1"/>
    <col min="2074" max="2074" width="12.7109375" style="1" customWidth="1"/>
    <col min="2075" max="2075" width="10.85546875" style="1" customWidth="1"/>
    <col min="2076" max="2076" width="11.28515625" style="1" customWidth="1"/>
    <col min="2077" max="2077" width="9.7109375" style="1" customWidth="1"/>
    <col min="2078" max="2078" width="11.140625" style="1" customWidth="1"/>
    <col min="2079" max="2079" width="12.42578125" style="1" customWidth="1"/>
    <col min="2080" max="2085" width="9.7109375" style="1" customWidth="1"/>
    <col min="2086" max="2086" width="6.140625" style="1" customWidth="1"/>
    <col min="2087" max="2316" width="9.140625" style="1"/>
    <col min="2317" max="2317" width="6.85546875" style="1" customWidth="1"/>
    <col min="2318" max="2318" width="27.42578125" style="1" customWidth="1"/>
    <col min="2319" max="2319" width="12.85546875" style="1" customWidth="1"/>
    <col min="2320" max="2320" width="0" style="1" hidden="1" customWidth="1"/>
    <col min="2321" max="2321" width="40.42578125" style="1" customWidth="1"/>
    <col min="2322" max="2322" width="9.140625" style="1" customWidth="1"/>
    <col min="2323" max="2324" width="11" style="1" customWidth="1"/>
    <col min="2325" max="2325" width="12.28515625" style="1" customWidth="1"/>
    <col min="2326" max="2328" width="12.85546875" style="1" customWidth="1"/>
    <col min="2329" max="2329" width="10.7109375" style="1" customWidth="1"/>
    <col min="2330" max="2330" width="12.7109375" style="1" customWidth="1"/>
    <col min="2331" max="2331" width="10.85546875" style="1" customWidth="1"/>
    <col min="2332" max="2332" width="11.28515625" style="1" customWidth="1"/>
    <col min="2333" max="2333" width="9.7109375" style="1" customWidth="1"/>
    <col min="2334" max="2334" width="11.140625" style="1" customWidth="1"/>
    <col min="2335" max="2335" width="12.42578125" style="1" customWidth="1"/>
    <col min="2336" max="2341" width="9.7109375" style="1" customWidth="1"/>
    <col min="2342" max="2342" width="6.140625" style="1" customWidth="1"/>
    <col min="2343" max="2572" width="9.140625" style="1"/>
    <col min="2573" max="2573" width="6.85546875" style="1" customWidth="1"/>
    <col min="2574" max="2574" width="27.42578125" style="1" customWidth="1"/>
    <col min="2575" max="2575" width="12.85546875" style="1" customWidth="1"/>
    <col min="2576" max="2576" width="0" style="1" hidden="1" customWidth="1"/>
    <col min="2577" max="2577" width="40.42578125" style="1" customWidth="1"/>
    <col min="2578" max="2578" width="9.140625" style="1" customWidth="1"/>
    <col min="2579" max="2580" width="11" style="1" customWidth="1"/>
    <col min="2581" max="2581" width="12.28515625" style="1" customWidth="1"/>
    <col min="2582" max="2584" width="12.85546875" style="1" customWidth="1"/>
    <col min="2585" max="2585" width="10.7109375" style="1" customWidth="1"/>
    <col min="2586" max="2586" width="12.7109375" style="1" customWidth="1"/>
    <col min="2587" max="2587" width="10.85546875" style="1" customWidth="1"/>
    <col min="2588" max="2588" width="11.28515625" style="1" customWidth="1"/>
    <col min="2589" max="2589" width="9.7109375" style="1" customWidth="1"/>
    <col min="2590" max="2590" width="11.140625" style="1" customWidth="1"/>
    <col min="2591" max="2591" width="12.42578125" style="1" customWidth="1"/>
    <col min="2592" max="2597" width="9.7109375" style="1" customWidth="1"/>
    <col min="2598" max="2598" width="6.140625" style="1" customWidth="1"/>
    <col min="2599" max="2828" width="9.140625" style="1"/>
    <col min="2829" max="2829" width="6.85546875" style="1" customWidth="1"/>
    <col min="2830" max="2830" width="27.42578125" style="1" customWidth="1"/>
    <col min="2831" max="2831" width="12.85546875" style="1" customWidth="1"/>
    <col min="2832" max="2832" width="0" style="1" hidden="1" customWidth="1"/>
    <col min="2833" max="2833" width="40.42578125" style="1" customWidth="1"/>
    <col min="2834" max="2834" width="9.140625" style="1" customWidth="1"/>
    <col min="2835" max="2836" width="11" style="1" customWidth="1"/>
    <col min="2837" max="2837" width="12.28515625" style="1" customWidth="1"/>
    <col min="2838" max="2840" width="12.85546875" style="1" customWidth="1"/>
    <col min="2841" max="2841" width="10.7109375" style="1" customWidth="1"/>
    <col min="2842" max="2842" width="12.7109375" style="1" customWidth="1"/>
    <col min="2843" max="2843" width="10.85546875" style="1" customWidth="1"/>
    <col min="2844" max="2844" width="11.28515625" style="1" customWidth="1"/>
    <col min="2845" max="2845" width="9.7109375" style="1" customWidth="1"/>
    <col min="2846" max="2846" width="11.140625" style="1" customWidth="1"/>
    <col min="2847" max="2847" width="12.42578125" style="1" customWidth="1"/>
    <col min="2848" max="2853" width="9.7109375" style="1" customWidth="1"/>
    <col min="2854" max="2854" width="6.140625" style="1" customWidth="1"/>
    <col min="2855" max="3084" width="9.140625" style="1"/>
    <col min="3085" max="3085" width="6.85546875" style="1" customWidth="1"/>
    <col min="3086" max="3086" width="27.42578125" style="1" customWidth="1"/>
    <col min="3087" max="3087" width="12.85546875" style="1" customWidth="1"/>
    <col min="3088" max="3088" width="0" style="1" hidden="1" customWidth="1"/>
    <col min="3089" max="3089" width="40.42578125" style="1" customWidth="1"/>
    <col min="3090" max="3090" width="9.140625" style="1" customWidth="1"/>
    <col min="3091" max="3092" width="11" style="1" customWidth="1"/>
    <col min="3093" max="3093" width="12.28515625" style="1" customWidth="1"/>
    <col min="3094" max="3096" width="12.85546875" style="1" customWidth="1"/>
    <col min="3097" max="3097" width="10.7109375" style="1" customWidth="1"/>
    <col min="3098" max="3098" width="12.7109375" style="1" customWidth="1"/>
    <col min="3099" max="3099" width="10.85546875" style="1" customWidth="1"/>
    <col min="3100" max="3100" width="11.28515625" style="1" customWidth="1"/>
    <col min="3101" max="3101" width="9.7109375" style="1" customWidth="1"/>
    <col min="3102" max="3102" width="11.140625" style="1" customWidth="1"/>
    <col min="3103" max="3103" width="12.42578125" style="1" customWidth="1"/>
    <col min="3104" max="3109" width="9.7109375" style="1" customWidth="1"/>
    <col min="3110" max="3110" width="6.140625" style="1" customWidth="1"/>
    <col min="3111" max="3340" width="9.140625" style="1"/>
    <col min="3341" max="3341" width="6.85546875" style="1" customWidth="1"/>
    <col min="3342" max="3342" width="27.42578125" style="1" customWidth="1"/>
    <col min="3343" max="3343" width="12.85546875" style="1" customWidth="1"/>
    <col min="3344" max="3344" width="0" style="1" hidden="1" customWidth="1"/>
    <col min="3345" max="3345" width="40.42578125" style="1" customWidth="1"/>
    <col min="3346" max="3346" width="9.140625" style="1" customWidth="1"/>
    <col min="3347" max="3348" width="11" style="1" customWidth="1"/>
    <col min="3349" max="3349" width="12.28515625" style="1" customWidth="1"/>
    <col min="3350" max="3352" width="12.85546875" style="1" customWidth="1"/>
    <col min="3353" max="3353" width="10.7109375" style="1" customWidth="1"/>
    <col min="3354" max="3354" width="12.7109375" style="1" customWidth="1"/>
    <col min="3355" max="3355" width="10.85546875" style="1" customWidth="1"/>
    <col min="3356" max="3356" width="11.28515625" style="1" customWidth="1"/>
    <col min="3357" max="3357" width="9.7109375" style="1" customWidth="1"/>
    <col min="3358" max="3358" width="11.140625" style="1" customWidth="1"/>
    <col min="3359" max="3359" width="12.42578125" style="1" customWidth="1"/>
    <col min="3360" max="3365" width="9.7109375" style="1" customWidth="1"/>
    <col min="3366" max="3366" width="6.140625" style="1" customWidth="1"/>
    <col min="3367" max="3596" width="9.140625" style="1"/>
    <col min="3597" max="3597" width="6.85546875" style="1" customWidth="1"/>
    <col min="3598" max="3598" width="27.42578125" style="1" customWidth="1"/>
    <col min="3599" max="3599" width="12.85546875" style="1" customWidth="1"/>
    <col min="3600" max="3600" width="0" style="1" hidden="1" customWidth="1"/>
    <col min="3601" max="3601" width="40.42578125" style="1" customWidth="1"/>
    <col min="3602" max="3602" width="9.140625" style="1" customWidth="1"/>
    <col min="3603" max="3604" width="11" style="1" customWidth="1"/>
    <col min="3605" max="3605" width="12.28515625" style="1" customWidth="1"/>
    <col min="3606" max="3608" width="12.85546875" style="1" customWidth="1"/>
    <col min="3609" max="3609" width="10.7109375" style="1" customWidth="1"/>
    <col min="3610" max="3610" width="12.7109375" style="1" customWidth="1"/>
    <col min="3611" max="3611" width="10.85546875" style="1" customWidth="1"/>
    <col min="3612" max="3612" width="11.28515625" style="1" customWidth="1"/>
    <col min="3613" max="3613" width="9.7109375" style="1" customWidth="1"/>
    <col min="3614" max="3614" width="11.140625" style="1" customWidth="1"/>
    <col min="3615" max="3615" width="12.42578125" style="1" customWidth="1"/>
    <col min="3616" max="3621" width="9.7109375" style="1" customWidth="1"/>
    <col min="3622" max="3622" width="6.140625" style="1" customWidth="1"/>
    <col min="3623" max="3852" width="9.140625" style="1"/>
    <col min="3853" max="3853" width="6.85546875" style="1" customWidth="1"/>
    <col min="3854" max="3854" width="27.42578125" style="1" customWidth="1"/>
    <col min="3855" max="3855" width="12.85546875" style="1" customWidth="1"/>
    <col min="3856" max="3856" width="0" style="1" hidden="1" customWidth="1"/>
    <col min="3857" max="3857" width="40.42578125" style="1" customWidth="1"/>
    <col min="3858" max="3858" width="9.140625" style="1" customWidth="1"/>
    <col min="3859" max="3860" width="11" style="1" customWidth="1"/>
    <col min="3861" max="3861" width="12.28515625" style="1" customWidth="1"/>
    <col min="3862" max="3864" width="12.85546875" style="1" customWidth="1"/>
    <col min="3865" max="3865" width="10.7109375" style="1" customWidth="1"/>
    <col min="3866" max="3866" width="12.7109375" style="1" customWidth="1"/>
    <col min="3867" max="3867" width="10.85546875" style="1" customWidth="1"/>
    <col min="3868" max="3868" width="11.28515625" style="1" customWidth="1"/>
    <col min="3869" max="3869" width="9.7109375" style="1" customWidth="1"/>
    <col min="3870" max="3870" width="11.140625" style="1" customWidth="1"/>
    <col min="3871" max="3871" width="12.42578125" style="1" customWidth="1"/>
    <col min="3872" max="3877" width="9.7109375" style="1" customWidth="1"/>
    <col min="3878" max="3878" width="6.140625" style="1" customWidth="1"/>
    <col min="3879" max="4108" width="9.140625" style="1"/>
    <col min="4109" max="4109" width="6.85546875" style="1" customWidth="1"/>
    <col min="4110" max="4110" width="27.42578125" style="1" customWidth="1"/>
    <col min="4111" max="4111" width="12.85546875" style="1" customWidth="1"/>
    <col min="4112" max="4112" width="0" style="1" hidden="1" customWidth="1"/>
    <col min="4113" max="4113" width="40.42578125" style="1" customWidth="1"/>
    <col min="4114" max="4114" width="9.140625" style="1" customWidth="1"/>
    <col min="4115" max="4116" width="11" style="1" customWidth="1"/>
    <col min="4117" max="4117" width="12.28515625" style="1" customWidth="1"/>
    <col min="4118" max="4120" width="12.85546875" style="1" customWidth="1"/>
    <col min="4121" max="4121" width="10.7109375" style="1" customWidth="1"/>
    <col min="4122" max="4122" width="12.7109375" style="1" customWidth="1"/>
    <col min="4123" max="4123" width="10.85546875" style="1" customWidth="1"/>
    <col min="4124" max="4124" width="11.28515625" style="1" customWidth="1"/>
    <col min="4125" max="4125" width="9.7109375" style="1" customWidth="1"/>
    <col min="4126" max="4126" width="11.140625" style="1" customWidth="1"/>
    <col min="4127" max="4127" width="12.42578125" style="1" customWidth="1"/>
    <col min="4128" max="4133" width="9.7109375" style="1" customWidth="1"/>
    <col min="4134" max="4134" width="6.140625" style="1" customWidth="1"/>
    <col min="4135" max="4364" width="9.140625" style="1"/>
    <col min="4365" max="4365" width="6.85546875" style="1" customWidth="1"/>
    <col min="4366" max="4366" width="27.42578125" style="1" customWidth="1"/>
    <col min="4367" max="4367" width="12.85546875" style="1" customWidth="1"/>
    <col min="4368" max="4368" width="0" style="1" hidden="1" customWidth="1"/>
    <col min="4369" max="4369" width="40.42578125" style="1" customWidth="1"/>
    <col min="4370" max="4370" width="9.140625" style="1" customWidth="1"/>
    <col min="4371" max="4372" width="11" style="1" customWidth="1"/>
    <col min="4373" max="4373" width="12.28515625" style="1" customWidth="1"/>
    <col min="4374" max="4376" width="12.85546875" style="1" customWidth="1"/>
    <col min="4377" max="4377" width="10.7109375" style="1" customWidth="1"/>
    <col min="4378" max="4378" width="12.7109375" style="1" customWidth="1"/>
    <col min="4379" max="4379" width="10.85546875" style="1" customWidth="1"/>
    <col min="4380" max="4380" width="11.28515625" style="1" customWidth="1"/>
    <col min="4381" max="4381" width="9.7109375" style="1" customWidth="1"/>
    <col min="4382" max="4382" width="11.140625" style="1" customWidth="1"/>
    <col min="4383" max="4383" width="12.42578125" style="1" customWidth="1"/>
    <col min="4384" max="4389" width="9.7109375" style="1" customWidth="1"/>
    <col min="4390" max="4390" width="6.140625" style="1" customWidth="1"/>
    <col min="4391" max="4620" width="9.140625" style="1"/>
    <col min="4621" max="4621" width="6.85546875" style="1" customWidth="1"/>
    <col min="4622" max="4622" width="27.42578125" style="1" customWidth="1"/>
    <col min="4623" max="4623" width="12.85546875" style="1" customWidth="1"/>
    <col min="4624" max="4624" width="0" style="1" hidden="1" customWidth="1"/>
    <col min="4625" max="4625" width="40.42578125" style="1" customWidth="1"/>
    <col min="4626" max="4626" width="9.140625" style="1" customWidth="1"/>
    <col min="4627" max="4628" width="11" style="1" customWidth="1"/>
    <col min="4629" max="4629" width="12.28515625" style="1" customWidth="1"/>
    <col min="4630" max="4632" width="12.85546875" style="1" customWidth="1"/>
    <col min="4633" max="4633" width="10.7109375" style="1" customWidth="1"/>
    <col min="4634" max="4634" width="12.7109375" style="1" customWidth="1"/>
    <col min="4635" max="4635" width="10.85546875" style="1" customWidth="1"/>
    <col min="4636" max="4636" width="11.28515625" style="1" customWidth="1"/>
    <col min="4637" max="4637" width="9.7109375" style="1" customWidth="1"/>
    <col min="4638" max="4638" width="11.140625" style="1" customWidth="1"/>
    <col min="4639" max="4639" width="12.42578125" style="1" customWidth="1"/>
    <col min="4640" max="4645" width="9.7109375" style="1" customWidth="1"/>
    <col min="4646" max="4646" width="6.140625" style="1" customWidth="1"/>
    <col min="4647" max="4876" width="9.140625" style="1"/>
    <col min="4877" max="4877" width="6.85546875" style="1" customWidth="1"/>
    <col min="4878" max="4878" width="27.42578125" style="1" customWidth="1"/>
    <col min="4879" max="4879" width="12.85546875" style="1" customWidth="1"/>
    <col min="4880" max="4880" width="0" style="1" hidden="1" customWidth="1"/>
    <col min="4881" max="4881" width="40.42578125" style="1" customWidth="1"/>
    <col min="4882" max="4882" width="9.140625" style="1" customWidth="1"/>
    <col min="4883" max="4884" width="11" style="1" customWidth="1"/>
    <col min="4885" max="4885" width="12.28515625" style="1" customWidth="1"/>
    <col min="4886" max="4888" width="12.85546875" style="1" customWidth="1"/>
    <col min="4889" max="4889" width="10.7109375" style="1" customWidth="1"/>
    <col min="4890" max="4890" width="12.7109375" style="1" customWidth="1"/>
    <col min="4891" max="4891" width="10.85546875" style="1" customWidth="1"/>
    <col min="4892" max="4892" width="11.28515625" style="1" customWidth="1"/>
    <col min="4893" max="4893" width="9.7109375" style="1" customWidth="1"/>
    <col min="4894" max="4894" width="11.140625" style="1" customWidth="1"/>
    <col min="4895" max="4895" width="12.42578125" style="1" customWidth="1"/>
    <col min="4896" max="4901" width="9.7109375" style="1" customWidth="1"/>
    <col min="4902" max="4902" width="6.140625" style="1" customWidth="1"/>
    <col min="4903" max="5132" width="9.140625" style="1"/>
    <col min="5133" max="5133" width="6.85546875" style="1" customWidth="1"/>
    <col min="5134" max="5134" width="27.42578125" style="1" customWidth="1"/>
    <col min="5135" max="5135" width="12.85546875" style="1" customWidth="1"/>
    <col min="5136" max="5136" width="0" style="1" hidden="1" customWidth="1"/>
    <col min="5137" max="5137" width="40.42578125" style="1" customWidth="1"/>
    <col min="5138" max="5138" width="9.140625" style="1" customWidth="1"/>
    <col min="5139" max="5140" width="11" style="1" customWidth="1"/>
    <col min="5141" max="5141" width="12.28515625" style="1" customWidth="1"/>
    <col min="5142" max="5144" width="12.85546875" style="1" customWidth="1"/>
    <col min="5145" max="5145" width="10.7109375" style="1" customWidth="1"/>
    <col min="5146" max="5146" width="12.7109375" style="1" customWidth="1"/>
    <col min="5147" max="5147" width="10.85546875" style="1" customWidth="1"/>
    <col min="5148" max="5148" width="11.28515625" style="1" customWidth="1"/>
    <col min="5149" max="5149" width="9.7109375" style="1" customWidth="1"/>
    <col min="5150" max="5150" width="11.140625" style="1" customWidth="1"/>
    <col min="5151" max="5151" width="12.42578125" style="1" customWidth="1"/>
    <col min="5152" max="5157" width="9.7109375" style="1" customWidth="1"/>
    <col min="5158" max="5158" width="6.140625" style="1" customWidth="1"/>
    <col min="5159" max="5388" width="9.140625" style="1"/>
    <col min="5389" max="5389" width="6.85546875" style="1" customWidth="1"/>
    <col min="5390" max="5390" width="27.42578125" style="1" customWidth="1"/>
    <col min="5391" max="5391" width="12.85546875" style="1" customWidth="1"/>
    <col min="5392" max="5392" width="0" style="1" hidden="1" customWidth="1"/>
    <col min="5393" max="5393" width="40.42578125" style="1" customWidth="1"/>
    <col min="5394" max="5394" width="9.140625" style="1" customWidth="1"/>
    <col min="5395" max="5396" width="11" style="1" customWidth="1"/>
    <col min="5397" max="5397" width="12.28515625" style="1" customWidth="1"/>
    <col min="5398" max="5400" width="12.85546875" style="1" customWidth="1"/>
    <col min="5401" max="5401" width="10.7109375" style="1" customWidth="1"/>
    <col min="5402" max="5402" width="12.7109375" style="1" customWidth="1"/>
    <col min="5403" max="5403" width="10.85546875" style="1" customWidth="1"/>
    <col min="5404" max="5404" width="11.28515625" style="1" customWidth="1"/>
    <col min="5405" max="5405" width="9.7109375" style="1" customWidth="1"/>
    <col min="5406" max="5406" width="11.140625" style="1" customWidth="1"/>
    <col min="5407" max="5407" width="12.42578125" style="1" customWidth="1"/>
    <col min="5408" max="5413" width="9.7109375" style="1" customWidth="1"/>
    <col min="5414" max="5414" width="6.140625" style="1" customWidth="1"/>
    <col min="5415" max="5644" width="9.140625" style="1"/>
    <col min="5645" max="5645" width="6.85546875" style="1" customWidth="1"/>
    <col min="5646" max="5646" width="27.42578125" style="1" customWidth="1"/>
    <col min="5647" max="5647" width="12.85546875" style="1" customWidth="1"/>
    <col min="5648" max="5648" width="0" style="1" hidden="1" customWidth="1"/>
    <col min="5649" max="5649" width="40.42578125" style="1" customWidth="1"/>
    <col min="5650" max="5650" width="9.140625" style="1" customWidth="1"/>
    <col min="5651" max="5652" width="11" style="1" customWidth="1"/>
    <col min="5653" max="5653" width="12.28515625" style="1" customWidth="1"/>
    <col min="5654" max="5656" width="12.85546875" style="1" customWidth="1"/>
    <col min="5657" max="5657" width="10.7109375" style="1" customWidth="1"/>
    <col min="5658" max="5658" width="12.7109375" style="1" customWidth="1"/>
    <col min="5659" max="5659" width="10.85546875" style="1" customWidth="1"/>
    <col min="5660" max="5660" width="11.28515625" style="1" customWidth="1"/>
    <col min="5661" max="5661" width="9.7109375" style="1" customWidth="1"/>
    <col min="5662" max="5662" width="11.140625" style="1" customWidth="1"/>
    <col min="5663" max="5663" width="12.42578125" style="1" customWidth="1"/>
    <col min="5664" max="5669" width="9.7109375" style="1" customWidth="1"/>
    <col min="5670" max="5670" width="6.140625" style="1" customWidth="1"/>
    <col min="5671" max="5900" width="9.140625" style="1"/>
    <col min="5901" max="5901" width="6.85546875" style="1" customWidth="1"/>
    <col min="5902" max="5902" width="27.42578125" style="1" customWidth="1"/>
    <col min="5903" max="5903" width="12.85546875" style="1" customWidth="1"/>
    <col min="5904" max="5904" width="0" style="1" hidden="1" customWidth="1"/>
    <col min="5905" max="5905" width="40.42578125" style="1" customWidth="1"/>
    <col min="5906" max="5906" width="9.140625" style="1" customWidth="1"/>
    <col min="5907" max="5908" width="11" style="1" customWidth="1"/>
    <col min="5909" max="5909" width="12.28515625" style="1" customWidth="1"/>
    <col min="5910" max="5912" width="12.85546875" style="1" customWidth="1"/>
    <col min="5913" max="5913" width="10.7109375" style="1" customWidth="1"/>
    <col min="5914" max="5914" width="12.7109375" style="1" customWidth="1"/>
    <col min="5915" max="5915" width="10.85546875" style="1" customWidth="1"/>
    <col min="5916" max="5916" width="11.28515625" style="1" customWidth="1"/>
    <col min="5917" max="5917" width="9.7109375" style="1" customWidth="1"/>
    <col min="5918" max="5918" width="11.140625" style="1" customWidth="1"/>
    <col min="5919" max="5919" width="12.42578125" style="1" customWidth="1"/>
    <col min="5920" max="5925" width="9.7109375" style="1" customWidth="1"/>
    <col min="5926" max="5926" width="6.140625" style="1" customWidth="1"/>
    <col min="5927" max="6156" width="9.140625" style="1"/>
    <col min="6157" max="6157" width="6.85546875" style="1" customWidth="1"/>
    <col min="6158" max="6158" width="27.42578125" style="1" customWidth="1"/>
    <col min="6159" max="6159" width="12.85546875" style="1" customWidth="1"/>
    <col min="6160" max="6160" width="0" style="1" hidden="1" customWidth="1"/>
    <col min="6161" max="6161" width="40.42578125" style="1" customWidth="1"/>
    <col min="6162" max="6162" width="9.140625" style="1" customWidth="1"/>
    <col min="6163" max="6164" width="11" style="1" customWidth="1"/>
    <col min="6165" max="6165" width="12.28515625" style="1" customWidth="1"/>
    <col min="6166" max="6168" width="12.85546875" style="1" customWidth="1"/>
    <col min="6169" max="6169" width="10.7109375" style="1" customWidth="1"/>
    <col min="6170" max="6170" width="12.7109375" style="1" customWidth="1"/>
    <col min="6171" max="6171" width="10.85546875" style="1" customWidth="1"/>
    <col min="6172" max="6172" width="11.28515625" style="1" customWidth="1"/>
    <col min="6173" max="6173" width="9.7109375" style="1" customWidth="1"/>
    <col min="6174" max="6174" width="11.140625" style="1" customWidth="1"/>
    <col min="6175" max="6175" width="12.42578125" style="1" customWidth="1"/>
    <col min="6176" max="6181" width="9.7109375" style="1" customWidth="1"/>
    <col min="6182" max="6182" width="6.140625" style="1" customWidth="1"/>
    <col min="6183" max="6412" width="9.140625" style="1"/>
    <col min="6413" max="6413" width="6.85546875" style="1" customWidth="1"/>
    <col min="6414" max="6414" width="27.42578125" style="1" customWidth="1"/>
    <col min="6415" max="6415" width="12.85546875" style="1" customWidth="1"/>
    <col min="6416" max="6416" width="0" style="1" hidden="1" customWidth="1"/>
    <col min="6417" max="6417" width="40.42578125" style="1" customWidth="1"/>
    <col min="6418" max="6418" width="9.140625" style="1" customWidth="1"/>
    <col min="6419" max="6420" width="11" style="1" customWidth="1"/>
    <col min="6421" max="6421" width="12.28515625" style="1" customWidth="1"/>
    <col min="6422" max="6424" width="12.85546875" style="1" customWidth="1"/>
    <col min="6425" max="6425" width="10.7109375" style="1" customWidth="1"/>
    <col min="6426" max="6426" width="12.7109375" style="1" customWidth="1"/>
    <col min="6427" max="6427" width="10.85546875" style="1" customWidth="1"/>
    <col min="6428" max="6428" width="11.28515625" style="1" customWidth="1"/>
    <col min="6429" max="6429" width="9.7109375" style="1" customWidth="1"/>
    <col min="6430" max="6430" width="11.140625" style="1" customWidth="1"/>
    <col min="6431" max="6431" width="12.42578125" style="1" customWidth="1"/>
    <col min="6432" max="6437" width="9.7109375" style="1" customWidth="1"/>
    <col min="6438" max="6438" width="6.140625" style="1" customWidth="1"/>
    <col min="6439" max="6668" width="9.140625" style="1"/>
    <col min="6669" max="6669" width="6.85546875" style="1" customWidth="1"/>
    <col min="6670" max="6670" width="27.42578125" style="1" customWidth="1"/>
    <col min="6671" max="6671" width="12.85546875" style="1" customWidth="1"/>
    <col min="6672" max="6672" width="0" style="1" hidden="1" customWidth="1"/>
    <col min="6673" max="6673" width="40.42578125" style="1" customWidth="1"/>
    <col min="6674" max="6674" width="9.140625" style="1" customWidth="1"/>
    <col min="6675" max="6676" width="11" style="1" customWidth="1"/>
    <col min="6677" max="6677" width="12.28515625" style="1" customWidth="1"/>
    <col min="6678" max="6680" width="12.85546875" style="1" customWidth="1"/>
    <col min="6681" max="6681" width="10.7109375" style="1" customWidth="1"/>
    <col min="6682" max="6682" width="12.7109375" style="1" customWidth="1"/>
    <col min="6683" max="6683" width="10.85546875" style="1" customWidth="1"/>
    <col min="6684" max="6684" width="11.28515625" style="1" customWidth="1"/>
    <col min="6685" max="6685" width="9.7109375" style="1" customWidth="1"/>
    <col min="6686" max="6686" width="11.140625" style="1" customWidth="1"/>
    <col min="6687" max="6687" width="12.42578125" style="1" customWidth="1"/>
    <col min="6688" max="6693" width="9.7109375" style="1" customWidth="1"/>
    <col min="6694" max="6694" width="6.140625" style="1" customWidth="1"/>
    <col min="6695" max="6924" width="9.140625" style="1"/>
    <col min="6925" max="6925" width="6.85546875" style="1" customWidth="1"/>
    <col min="6926" max="6926" width="27.42578125" style="1" customWidth="1"/>
    <col min="6927" max="6927" width="12.85546875" style="1" customWidth="1"/>
    <col min="6928" max="6928" width="0" style="1" hidden="1" customWidth="1"/>
    <col min="6929" max="6929" width="40.42578125" style="1" customWidth="1"/>
    <col min="6930" max="6930" width="9.140625" style="1" customWidth="1"/>
    <col min="6931" max="6932" width="11" style="1" customWidth="1"/>
    <col min="6933" max="6933" width="12.28515625" style="1" customWidth="1"/>
    <col min="6934" max="6936" width="12.85546875" style="1" customWidth="1"/>
    <col min="6937" max="6937" width="10.7109375" style="1" customWidth="1"/>
    <col min="6938" max="6938" width="12.7109375" style="1" customWidth="1"/>
    <col min="6939" max="6939" width="10.85546875" style="1" customWidth="1"/>
    <col min="6940" max="6940" width="11.28515625" style="1" customWidth="1"/>
    <col min="6941" max="6941" width="9.7109375" style="1" customWidth="1"/>
    <col min="6942" max="6942" width="11.140625" style="1" customWidth="1"/>
    <col min="6943" max="6943" width="12.42578125" style="1" customWidth="1"/>
    <col min="6944" max="6949" width="9.7109375" style="1" customWidth="1"/>
    <col min="6950" max="6950" width="6.140625" style="1" customWidth="1"/>
    <col min="6951" max="7180" width="9.140625" style="1"/>
    <col min="7181" max="7181" width="6.85546875" style="1" customWidth="1"/>
    <col min="7182" max="7182" width="27.42578125" style="1" customWidth="1"/>
    <col min="7183" max="7183" width="12.85546875" style="1" customWidth="1"/>
    <col min="7184" max="7184" width="0" style="1" hidden="1" customWidth="1"/>
    <col min="7185" max="7185" width="40.42578125" style="1" customWidth="1"/>
    <col min="7186" max="7186" width="9.140625" style="1" customWidth="1"/>
    <col min="7187" max="7188" width="11" style="1" customWidth="1"/>
    <col min="7189" max="7189" width="12.28515625" style="1" customWidth="1"/>
    <col min="7190" max="7192" width="12.85546875" style="1" customWidth="1"/>
    <col min="7193" max="7193" width="10.7109375" style="1" customWidth="1"/>
    <col min="7194" max="7194" width="12.7109375" style="1" customWidth="1"/>
    <col min="7195" max="7195" width="10.85546875" style="1" customWidth="1"/>
    <col min="7196" max="7196" width="11.28515625" style="1" customWidth="1"/>
    <col min="7197" max="7197" width="9.7109375" style="1" customWidth="1"/>
    <col min="7198" max="7198" width="11.140625" style="1" customWidth="1"/>
    <col min="7199" max="7199" width="12.42578125" style="1" customWidth="1"/>
    <col min="7200" max="7205" width="9.7109375" style="1" customWidth="1"/>
    <col min="7206" max="7206" width="6.140625" style="1" customWidth="1"/>
    <col min="7207" max="7436" width="9.140625" style="1"/>
    <col min="7437" max="7437" width="6.85546875" style="1" customWidth="1"/>
    <col min="7438" max="7438" width="27.42578125" style="1" customWidth="1"/>
    <col min="7439" max="7439" width="12.85546875" style="1" customWidth="1"/>
    <col min="7440" max="7440" width="0" style="1" hidden="1" customWidth="1"/>
    <col min="7441" max="7441" width="40.42578125" style="1" customWidth="1"/>
    <col min="7442" max="7442" width="9.140625" style="1" customWidth="1"/>
    <col min="7443" max="7444" width="11" style="1" customWidth="1"/>
    <col min="7445" max="7445" width="12.28515625" style="1" customWidth="1"/>
    <col min="7446" max="7448" width="12.85546875" style="1" customWidth="1"/>
    <col min="7449" max="7449" width="10.7109375" style="1" customWidth="1"/>
    <col min="7450" max="7450" width="12.7109375" style="1" customWidth="1"/>
    <col min="7451" max="7451" width="10.85546875" style="1" customWidth="1"/>
    <col min="7452" max="7452" width="11.28515625" style="1" customWidth="1"/>
    <col min="7453" max="7453" width="9.7109375" style="1" customWidth="1"/>
    <col min="7454" max="7454" width="11.140625" style="1" customWidth="1"/>
    <col min="7455" max="7455" width="12.42578125" style="1" customWidth="1"/>
    <col min="7456" max="7461" width="9.7109375" style="1" customWidth="1"/>
    <col min="7462" max="7462" width="6.140625" style="1" customWidth="1"/>
    <col min="7463" max="7692" width="9.140625" style="1"/>
    <col min="7693" max="7693" width="6.85546875" style="1" customWidth="1"/>
    <col min="7694" max="7694" width="27.42578125" style="1" customWidth="1"/>
    <col min="7695" max="7695" width="12.85546875" style="1" customWidth="1"/>
    <col min="7696" max="7696" width="0" style="1" hidden="1" customWidth="1"/>
    <col min="7697" max="7697" width="40.42578125" style="1" customWidth="1"/>
    <col min="7698" max="7698" width="9.140625" style="1" customWidth="1"/>
    <col min="7699" max="7700" width="11" style="1" customWidth="1"/>
    <col min="7701" max="7701" width="12.28515625" style="1" customWidth="1"/>
    <col min="7702" max="7704" width="12.85546875" style="1" customWidth="1"/>
    <col min="7705" max="7705" width="10.7109375" style="1" customWidth="1"/>
    <col min="7706" max="7706" width="12.7109375" style="1" customWidth="1"/>
    <col min="7707" max="7707" width="10.85546875" style="1" customWidth="1"/>
    <col min="7708" max="7708" width="11.28515625" style="1" customWidth="1"/>
    <col min="7709" max="7709" width="9.7109375" style="1" customWidth="1"/>
    <col min="7710" max="7710" width="11.140625" style="1" customWidth="1"/>
    <col min="7711" max="7711" width="12.42578125" style="1" customWidth="1"/>
    <col min="7712" max="7717" width="9.7109375" style="1" customWidth="1"/>
    <col min="7718" max="7718" width="6.140625" style="1" customWidth="1"/>
    <col min="7719" max="7948" width="9.140625" style="1"/>
    <col min="7949" max="7949" width="6.85546875" style="1" customWidth="1"/>
    <col min="7950" max="7950" width="27.42578125" style="1" customWidth="1"/>
    <col min="7951" max="7951" width="12.85546875" style="1" customWidth="1"/>
    <col min="7952" max="7952" width="0" style="1" hidden="1" customWidth="1"/>
    <col min="7953" max="7953" width="40.42578125" style="1" customWidth="1"/>
    <col min="7954" max="7954" width="9.140625" style="1" customWidth="1"/>
    <col min="7955" max="7956" width="11" style="1" customWidth="1"/>
    <col min="7957" max="7957" width="12.28515625" style="1" customWidth="1"/>
    <col min="7958" max="7960" width="12.85546875" style="1" customWidth="1"/>
    <col min="7961" max="7961" width="10.7109375" style="1" customWidth="1"/>
    <col min="7962" max="7962" width="12.7109375" style="1" customWidth="1"/>
    <col min="7963" max="7963" width="10.85546875" style="1" customWidth="1"/>
    <col min="7964" max="7964" width="11.28515625" style="1" customWidth="1"/>
    <col min="7965" max="7965" width="9.7109375" style="1" customWidth="1"/>
    <col min="7966" max="7966" width="11.140625" style="1" customWidth="1"/>
    <col min="7967" max="7967" width="12.42578125" style="1" customWidth="1"/>
    <col min="7968" max="7973" width="9.7109375" style="1" customWidth="1"/>
    <col min="7974" max="7974" width="6.140625" style="1" customWidth="1"/>
    <col min="7975" max="8204" width="9.140625" style="1"/>
    <col min="8205" max="8205" width="6.85546875" style="1" customWidth="1"/>
    <col min="8206" max="8206" width="27.42578125" style="1" customWidth="1"/>
    <col min="8207" max="8207" width="12.85546875" style="1" customWidth="1"/>
    <col min="8208" max="8208" width="0" style="1" hidden="1" customWidth="1"/>
    <col min="8209" max="8209" width="40.42578125" style="1" customWidth="1"/>
    <col min="8210" max="8210" width="9.140625" style="1" customWidth="1"/>
    <col min="8211" max="8212" width="11" style="1" customWidth="1"/>
    <col min="8213" max="8213" width="12.28515625" style="1" customWidth="1"/>
    <col min="8214" max="8216" width="12.85546875" style="1" customWidth="1"/>
    <col min="8217" max="8217" width="10.7109375" style="1" customWidth="1"/>
    <col min="8218" max="8218" width="12.7109375" style="1" customWidth="1"/>
    <col min="8219" max="8219" width="10.85546875" style="1" customWidth="1"/>
    <col min="8220" max="8220" width="11.28515625" style="1" customWidth="1"/>
    <col min="8221" max="8221" width="9.7109375" style="1" customWidth="1"/>
    <col min="8222" max="8222" width="11.140625" style="1" customWidth="1"/>
    <col min="8223" max="8223" width="12.42578125" style="1" customWidth="1"/>
    <col min="8224" max="8229" width="9.7109375" style="1" customWidth="1"/>
    <col min="8230" max="8230" width="6.140625" style="1" customWidth="1"/>
    <col min="8231" max="8460" width="9.140625" style="1"/>
    <col min="8461" max="8461" width="6.85546875" style="1" customWidth="1"/>
    <col min="8462" max="8462" width="27.42578125" style="1" customWidth="1"/>
    <col min="8463" max="8463" width="12.85546875" style="1" customWidth="1"/>
    <col min="8464" max="8464" width="0" style="1" hidden="1" customWidth="1"/>
    <col min="8465" max="8465" width="40.42578125" style="1" customWidth="1"/>
    <col min="8466" max="8466" width="9.140625" style="1" customWidth="1"/>
    <col min="8467" max="8468" width="11" style="1" customWidth="1"/>
    <col min="8469" max="8469" width="12.28515625" style="1" customWidth="1"/>
    <col min="8470" max="8472" width="12.85546875" style="1" customWidth="1"/>
    <col min="8473" max="8473" width="10.7109375" style="1" customWidth="1"/>
    <col min="8474" max="8474" width="12.7109375" style="1" customWidth="1"/>
    <col min="8475" max="8475" width="10.85546875" style="1" customWidth="1"/>
    <col min="8476" max="8476" width="11.28515625" style="1" customWidth="1"/>
    <col min="8477" max="8477" width="9.7109375" style="1" customWidth="1"/>
    <col min="8478" max="8478" width="11.140625" style="1" customWidth="1"/>
    <col min="8479" max="8479" width="12.42578125" style="1" customWidth="1"/>
    <col min="8480" max="8485" width="9.7109375" style="1" customWidth="1"/>
    <col min="8486" max="8486" width="6.140625" style="1" customWidth="1"/>
    <col min="8487" max="8716" width="9.140625" style="1"/>
    <col min="8717" max="8717" width="6.85546875" style="1" customWidth="1"/>
    <col min="8718" max="8718" width="27.42578125" style="1" customWidth="1"/>
    <col min="8719" max="8719" width="12.85546875" style="1" customWidth="1"/>
    <col min="8720" max="8720" width="0" style="1" hidden="1" customWidth="1"/>
    <col min="8721" max="8721" width="40.42578125" style="1" customWidth="1"/>
    <col min="8722" max="8722" width="9.140625" style="1" customWidth="1"/>
    <col min="8723" max="8724" width="11" style="1" customWidth="1"/>
    <col min="8725" max="8725" width="12.28515625" style="1" customWidth="1"/>
    <col min="8726" max="8728" width="12.85546875" style="1" customWidth="1"/>
    <col min="8729" max="8729" width="10.7109375" style="1" customWidth="1"/>
    <col min="8730" max="8730" width="12.7109375" style="1" customWidth="1"/>
    <col min="8731" max="8731" width="10.85546875" style="1" customWidth="1"/>
    <col min="8732" max="8732" width="11.28515625" style="1" customWidth="1"/>
    <col min="8733" max="8733" width="9.7109375" style="1" customWidth="1"/>
    <col min="8734" max="8734" width="11.140625" style="1" customWidth="1"/>
    <col min="8735" max="8735" width="12.42578125" style="1" customWidth="1"/>
    <col min="8736" max="8741" width="9.7109375" style="1" customWidth="1"/>
    <col min="8742" max="8742" width="6.140625" style="1" customWidth="1"/>
    <col min="8743" max="8972" width="9.140625" style="1"/>
    <col min="8973" max="8973" width="6.85546875" style="1" customWidth="1"/>
    <col min="8974" max="8974" width="27.42578125" style="1" customWidth="1"/>
    <col min="8975" max="8975" width="12.85546875" style="1" customWidth="1"/>
    <col min="8976" max="8976" width="0" style="1" hidden="1" customWidth="1"/>
    <col min="8977" max="8977" width="40.42578125" style="1" customWidth="1"/>
    <col min="8978" max="8978" width="9.140625" style="1" customWidth="1"/>
    <col min="8979" max="8980" width="11" style="1" customWidth="1"/>
    <col min="8981" max="8981" width="12.28515625" style="1" customWidth="1"/>
    <col min="8982" max="8984" width="12.85546875" style="1" customWidth="1"/>
    <col min="8985" max="8985" width="10.7109375" style="1" customWidth="1"/>
    <col min="8986" max="8986" width="12.7109375" style="1" customWidth="1"/>
    <col min="8987" max="8987" width="10.85546875" style="1" customWidth="1"/>
    <col min="8988" max="8988" width="11.28515625" style="1" customWidth="1"/>
    <col min="8989" max="8989" width="9.7109375" style="1" customWidth="1"/>
    <col min="8990" max="8990" width="11.140625" style="1" customWidth="1"/>
    <col min="8991" max="8991" width="12.42578125" style="1" customWidth="1"/>
    <col min="8992" max="8997" width="9.7109375" style="1" customWidth="1"/>
    <col min="8998" max="8998" width="6.140625" style="1" customWidth="1"/>
    <col min="8999" max="9228" width="9.140625" style="1"/>
    <col min="9229" max="9229" width="6.85546875" style="1" customWidth="1"/>
    <col min="9230" max="9230" width="27.42578125" style="1" customWidth="1"/>
    <col min="9231" max="9231" width="12.85546875" style="1" customWidth="1"/>
    <col min="9232" max="9232" width="0" style="1" hidden="1" customWidth="1"/>
    <col min="9233" max="9233" width="40.42578125" style="1" customWidth="1"/>
    <col min="9234" max="9234" width="9.140625" style="1" customWidth="1"/>
    <col min="9235" max="9236" width="11" style="1" customWidth="1"/>
    <col min="9237" max="9237" width="12.28515625" style="1" customWidth="1"/>
    <col min="9238" max="9240" width="12.85546875" style="1" customWidth="1"/>
    <col min="9241" max="9241" width="10.7109375" style="1" customWidth="1"/>
    <col min="9242" max="9242" width="12.7109375" style="1" customWidth="1"/>
    <col min="9243" max="9243" width="10.85546875" style="1" customWidth="1"/>
    <col min="9244" max="9244" width="11.28515625" style="1" customWidth="1"/>
    <col min="9245" max="9245" width="9.7109375" style="1" customWidth="1"/>
    <col min="9246" max="9246" width="11.140625" style="1" customWidth="1"/>
    <col min="9247" max="9247" width="12.42578125" style="1" customWidth="1"/>
    <col min="9248" max="9253" width="9.7109375" style="1" customWidth="1"/>
    <col min="9254" max="9254" width="6.140625" style="1" customWidth="1"/>
    <col min="9255" max="9484" width="9.140625" style="1"/>
    <col min="9485" max="9485" width="6.85546875" style="1" customWidth="1"/>
    <col min="9486" max="9486" width="27.42578125" style="1" customWidth="1"/>
    <col min="9487" max="9487" width="12.85546875" style="1" customWidth="1"/>
    <col min="9488" max="9488" width="0" style="1" hidden="1" customWidth="1"/>
    <col min="9489" max="9489" width="40.42578125" style="1" customWidth="1"/>
    <col min="9490" max="9490" width="9.140625" style="1" customWidth="1"/>
    <col min="9491" max="9492" width="11" style="1" customWidth="1"/>
    <col min="9493" max="9493" width="12.28515625" style="1" customWidth="1"/>
    <col min="9494" max="9496" width="12.85546875" style="1" customWidth="1"/>
    <col min="9497" max="9497" width="10.7109375" style="1" customWidth="1"/>
    <col min="9498" max="9498" width="12.7109375" style="1" customWidth="1"/>
    <col min="9499" max="9499" width="10.85546875" style="1" customWidth="1"/>
    <col min="9500" max="9500" width="11.28515625" style="1" customWidth="1"/>
    <col min="9501" max="9501" width="9.7109375" style="1" customWidth="1"/>
    <col min="9502" max="9502" width="11.140625" style="1" customWidth="1"/>
    <col min="9503" max="9503" width="12.42578125" style="1" customWidth="1"/>
    <col min="9504" max="9509" width="9.7109375" style="1" customWidth="1"/>
    <col min="9510" max="9510" width="6.140625" style="1" customWidth="1"/>
    <col min="9511" max="9740" width="9.140625" style="1"/>
    <col min="9741" max="9741" width="6.85546875" style="1" customWidth="1"/>
    <col min="9742" max="9742" width="27.42578125" style="1" customWidth="1"/>
    <col min="9743" max="9743" width="12.85546875" style="1" customWidth="1"/>
    <col min="9744" max="9744" width="0" style="1" hidden="1" customWidth="1"/>
    <col min="9745" max="9745" width="40.42578125" style="1" customWidth="1"/>
    <col min="9746" max="9746" width="9.140625" style="1" customWidth="1"/>
    <col min="9747" max="9748" width="11" style="1" customWidth="1"/>
    <col min="9749" max="9749" width="12.28515625" style="1" customWidth="1"/>
    <col min="9750" max="9752" width="12.85546875" style="1" customWidth="1"/>
    <col min="9753" max="9753" width="10.7109375" style="1" customWidth="1"/>
    <col min="9754" max="9754" width="12.7109375" style="1" customWidth="1"/>
    <col min="9755" max="9755" width="10.85546875" style="1" customWidth="1"/>
    <col min="9756" max="9756" width="11.28515625" style="1" customWidth="1"/>
    <col min="9757" max="9757" width="9.7109375" style="1" customWidth="1"/>
    <col min="9758" max="9758" width="11.140625" style="1" customWidth="1"/>
    <col min="9759" max="9759" width="12.42578125" style="1" customWidth="1"/>
    <col min="9760" max="9765" width="9.7109375" style="1" customWidth="1"/>
    <col min="9766" max="9766" width="6.140625" style="1" customWidth="1"/>
    <col min="9767" max="9996" width="9.140625" style="1"/>
    <col min="9997" max="9997" width="6.85546875" style="1" customWidth="1"/>
    <col min="9998" max="9998" width="27.42578125" style="1" customWidth="1"/>
    <col min="9999" max="9999" width="12.85546875" style="1" customWidth="1"/>
    <col min="10000" max="10000" width="0" style="1" hidden="1" customWidth="1"/>
    <col min="10001" max="10001" width="40.42578125" style="1" customWidth="1"/>
    <col min="10002" max="10002" width="9.140625" style="1" customWidth="1"/>
    <col min="10003" max="10004" width="11" style="1" customWidth="1"/>
    <col min="10005" max="10005" width="12.28515625" style="1" customWidth="1"/>
    <col min="10006" max="10008" width="12.85546875" style="1" customWidth="1"/>
    <col min="10009" max="10009" width="10.7109375" style="1" customWidth="1"/>
    <col min="10010" max="10010" width="12.7109375" style="1" customWidth="1"/>
    <col min="10011" max="10011" width="10.85546875" style="1" customWidth="1"/>
    <col min="10012" max="10012" width="11.28515625" style="1" customWidth="1"/>
    <col min="10013" max="10013" width="9.7109375" style="1" customWidth="1"/>
    <col min="10014" max="10014" width="11.140625" style="1" customWidth="1"/>
    <col min="10015" max="10015" width="12.42578125" style="1" customWidth="1"/>
    <col min="10016" max="10021" width="9.7109375" style="1" customWidth="1"/>
    <col min="10022" max="10022" width="6.140625" style="1" customWidth="1"/>
    <col min="10023" max="10252" width="9.140625" style="1"/>
    <col min="10253" max="10253" width="6.85546875" style="1" customWidth="1"/>
    <col min="10254" max="10254" width="27.42578125" style="1" customWidth="1"/>
    <col min="10255" max="10255" width="12.85546875" style="1" customWidth="1"/>
    <col min="10256" max="10256" width="0" style="1" hidden="1" customWidth="1"/>
    <col min="10257" max="10257" width="40.42578125" style="1" customWidth="1"/>
    <col min="10258" max="10258" width="9.140625" style="1" customWidth="1"/>
    <col min="10259" max="10260" width="11" style="1" customWidth="1"/>
    <col min="10261" max="10261" width="12.28515625" style="1" customWidth="1"/>
    <col min="10262" max="10264" width="12.85546875" style="1" customWidth="1"/>
    <col min="10265" max="10265" width="10.7109375" style="1" customWidth="1"/>
    <col min="10266" max="10266" width="12.7109375" style="1" customWidth="1"/>
    <col min="10267" max="10267" width="10.85546875" style="1" customWidth="1"/>
    <col min="10268" max="10268" width="11.28515625" style="1" customWidth="1"/>
    <col min="10269" max="10269" width="9.7109375" style="1" customWidth="1"/>
    <col min="10270" max="10270" width="11.140625" style="1" customWidth="1"/>
    <col min="10271" max="10271" width="12.42578125" style="1" customWidth="1"/>
    <col min="10272" max="10277" width="9.7109375" style="1" customWidth="1"/>
    <col min="10278" max="10278" width="6.140625" style="1" customWidth="1"/>
    <col min="10279" max="10508" width="9.140625" style="1"/>
    <col min="10509" max="10509" width="6.85546875" style="1" customWidth="1"/>
    <col min="10510" max="10510" width="27.42578125" style="1" customWidth="1"/>
    <col min="10511" max="10511" width="12.85546875" style="1" customWidth="1"/>
    <col min="10512" max="10512" width="0" style="1" hidden="1" customWidth="1"/>
    <col min="10513" max="10513" width="40.42578125" style="1" customWidth="1"/>
    <col min="10514" max="10514" width="9.140625" style="1" customWidth="1"/>
    <col min="10515" max="10516" width="11" style="1" customWidth="1"/>
    <col min="10517" max="10517" width="12.28515625" style="1" customWidth="1"/>
    <col min="10518" max="10520" width="12.85546875" style="1" customWidth="1"/>
    <col min="10521" max="10521" width="10.7109375" style="1" customWidth="1"/>
    <col min="10522" max="10522" width="12.7109375" style="1" customWidth="1"/>
    <col min="10523" max="10523" width="10.85546875" style="1" customWidth="1"/>
    <col min="10524" max="10524" width="11.28515625" style="1" customWidth="1"/>
    <col min="10525" max="10525" width="9.7109375" style="1" customWidth="1"/>
    <col min="10526" max="10526" width="11.140625" style="1" customWidth="1"/>
    <col min="10527" max="10527" width="12.42578125" style="1" customWidth="1"/>
    <col min="10528" max="10533" width="9.7109375" style="1" customWidth="1"/>
    <col min="10534" max="10534" width="6.140625" style="1" customWidth="1"/>
    <col min="10535" max="10764" width="9.140625" style="1"/>
    <col min="10765" max="10765" width="6.85546875" style="1" customWidth="1"/>
    <col min="10766" max="10766" width="27.42578125" style="1" customWidth="1"/>
    <col min="10767" max="10767" width="12.85546875" style="1" customWidth="1"/>
    <col min="10768" max="10768" width="0" style="1" hidden="1" customWidth="1"/>
    <col min="10769" max="10769" width="40.42578125" style="1" customWidth="1"/>
    <col min="10770" max="10770" width="9.140625" style="1" customWidth="1"/>
    <col min="10771" max="10772" width="11" style="1" customWidth="1"/>
    <col min="10773" max="10773" width="12.28515625" style="1" customWidth="1"/>
    <col min="10774" max="10776" width="12.85546875" style="1" customWidth="1"/>
    <col min="10777" max="10777" width="10.7109375" style="1" customWidth="1"/>
    <col min="10778" max="10778" width="12.7109375" style="1" customWidth="1"/>
    <col min="10779" max="10779" width="10.85546875" style="1" customWidth="1"/>
    <col min="10780" max="10780" width="11.28515625" style="1" customWidth="1"/>
    <col min="10781" max="10781" width="9.7109375" style="1" customWidth="1"/>
    <col min="10782" max="10782" width="11.140625" style="1" customWidth="1"/>
    <col min="10783" max="10783" width="12.42578125" style="1" customWidth="1"/>
    <col min="10784" max="10789" width="9.7109375" style="1" customWidth="1"/>
    <col min="10790" max="10790" width="6.140625" style="1" customWidth="1"/>
    <col min="10791" max="11020" width="9.140625" style="1"/>
    <col min="11021" max="11021" width="6.85546875" style="1" customWidth="1"/>
    <col min="11022" max="11022" width="27.42578125" style="1" customWidth="1"/>
    <col min="11023" max="11023" width="12.85546875" style="1" customWidth="1"/>
    <col min="11024" max="11024" width="0" style="1" hidden="1" customWidth="1"/>
    <col min="11025" max="11025" width="40.42578125" style="1" customWidth="1"/>
    <col min="11026" max="11026" width="9.140625" style="1" customWidth="1"/>
    <col min="11027" max="11028" width="11" style="1" customWidth="1"/>
    <col min="11029" max="11029" width="12.28515625" style="1" customWidth="1"/>
    <col min="11030" max="11032" width="12.85546875" style="1" customWidth="1"/>
    <col min="11033" max="11033" width="10.7109375" style="1" customWidth="1"/>
    <col min="11034" max="11034" width="12.7109375" style="1" customWidth="1"/>
    <col min="11035" max="11035" width="10.85546875" style="1" customWidth="1"/>
    <col min="11036" max="11036" width="11.28515625" style="1" customWidth="1"/>
    <col min="11037" max="11037" width="9.7109375" style="1" customWidth="1"/>
    <col min="11038" max="11038" width="11.140625" style="1" customWidth="1"/>
    <col min="11039" max="11039" width="12.42578125" style="1" customWidth="1"/>
    <col min="11040" max="11045" width="9.7109375" style="1" customWidth="1"/>
    <col min="11046" max="11046" width="6.140625" style="1" customWidth="1"/>
    <col min="11047" max="11276" width="9.140625" style="1"/>
    <col min="11277" max="11277" width="6.85546875" style="1" customWidth="1"/>
    <col min="11278" max="11278" width="27.42578125" style="1" customWidth="1"/>
    <col min="11279" max="11279" width="12.85546875" style="1" customWidth="1"/>
    <col min="11280" max="11280" width="0" style="1" hidden="1" customWidth="1"/>
    <col min="11281" max="11281" width="40.42578125" style="1" customWidth="1"/>
    <col min="11282" max="11282" width="9.140625" style="1" customWidth="1"/>
    <col min="11283" max="11284" width="11" style="1" customWidth="1"/>
    <col min="11285" max="11285" width="12.28515625" style="1" customWidth="1"/>
    <col min="11286" max="11288" width="12.85546875" style="1" customWidth="1"/>
    <col min="11289" max="11289" width="10.7109375" style="1" customWidth="1"/>
    <col min="11290" max="11290" width="12.7109375" style="1" customWidth="1"/>
    <col min="11291" max="11291" width="10.85546875" style="1" customWidth="1"/>
    <col min="11292" max="11292" width="11.28515625" style="1" customWidth="1"/>
    <col min="11293" max="11293" width="9.7109375" style="1" customWidth="1"/>
    <col min="11294" max="11294" width="11.140625" style="1" customWidth="1"/>
    <col min="11295" max="11295" width="12.42578125" style="1" customWidth="1"/>
    <col min="11296" max="11301" width="9.7109375" style="1" customWidth="1"/>
    <col min="11302" max="11302" width="6.140625" style="1" customWidth="1"/>
    <col min="11303" max="11532" width="9.140625" style="1"/>
    <col min="11533" max="11533" width="6.85546875" style="1" customWidth="1"/>
    <col min="11534" max="11534" width="27.42578125" style="1" customWidth="1"/>
    <col min="11535" max="11535" width="12.85546875" style="1" customWidth="1"/>
    <col min="11536" max="11536" width="0" style="1" hidden="1" customWidth="1"/>
    <col min="11537" max="11537" width="40.42578125" style="1" customWidth="1"/>
    <col min="11538" max="11538" width="9.140625" style="1" customWidth="1"/>
    <col min="11539" max="11540" width="11" style="1" customWidth="1"/>
    <col min="11541" max="11541" width="12.28515625" style="1" customWidth="1"/>
    <col min="11542" max="11544" width="12.85546875" style="1" customWidth="1"/>
    <col min="11545" max="11545" width="10.7109375" style="1" customWidth="1"/>
    <col min="11546" max="11546" width="12.7109375" style="1" customWidth="1"/>
    <col min="11547" max="11547" width="10.85546875" style="1" customWidth="1"/>
    <col min="11548" max="11548" width="11.28515625" style="1" customWidth="1"/>
    <col min="11549" max="11549" width="9.7109375" style="1" customWidth="1"/>
    <col min="11550" max="11550" width="11.140625" style="1" customWidth="1"/>
    <col min="11551" max="11551" width="12.42578125" style="1" customWidth="1"/>
    <col min="11552" max="11557" width="9.7109375" style="1" customWidth="1"/>
    <col min="11558" max="11558" width="6.140625" style="1" customWidth="1"/>
    <col min="11559" max="11788" width="9.140625" style="1"/>
    <col min="11789" max="11789" width="6.85546875" style="1" customWidth="1"/>
    <col min="11790" max="11790" width="27.42578125" style="1" customWidth="1"/>
    <col min="11791" max="11791" width="12.85546875" style="1" customWidth="1"/>
    <col min="11792" max="11792" width="0" style="1" hidden="1" customWidth="1"/>
    <col min="11793" max="11793" width="40.42578125" style="1" customWidth="1"/>
    <col min="11794" max="11794" width="9.140625" style="1" customWidth="1"/>
    <col min="11795" max="11796" width="11" style="1" customWidth="1"/>
    <col min="11797" max="11797" width="12.28515625" style="1" customWidth="1"/>
    <col min="11798" max="11800" width="12.85546875" style="1" customWidth="1"/>
    <col min="11801" max="11801" width="10.7109375" style="1" customWidth="1"/>
    <col min="11802" max="11802" width="12.7109375" style="1" customWidth="1"/>
    <col min="11803" max="11803" width="10.85546875" style="1" customWidth="1"/>
    <col min="11804" max="11804" width="11.28515625" style="1" customWidth="1"/>
    <col min="11805" max="11805" width="9.7109375" style="1" customWidth="1"/>
    <col min="11806" max="11806" width="11.140625" style="1" customWidth="1"/>
    <col min="11807" max="11807" width="12.42578125" style="1" customWidth="1"/>
    <col min="11808" max="11813" width="9.7109375" style="1" customWidth="1"/>
    <col min="11814" max="11814" width="6.140625" style="1" customWidth="1"/>
    <col min="11815" max="12044" width="9.140625" style="1"/>
    <col min="12045" max="12045" width="6.85546875" style="1" customWidth="1"/>
    <col min="12046" max="12046" width="27.42578125" style="1" customWidth="1"/>
    <col min="12047" max="12047" width="12.85546875" style="1" customWidth="1"/>
    <col min="12048" max="12048" width="0" style="1" hidden="1" customWidth="1"/>
    <col min="12049" max="12049" width="40.42578125" style="1" customWidth="1"/>
    <col min="12050" max="12050" width="9.140625" style="1" customWidth="1"/>
    <col min="12051" max="12052" width="11" style="1" customWidth="1"/>
    <col min="12053" max="12053" width="12.28515625" style="1" customWidth="1"/>
    <col min="12054" max="12056" width="12.85546875" style="1" customWidth="1"/>
    <col min="12057" max="12057" width="10.7109375" style="1" customWidth="1"/>
    <col min="12058" max="12058" width="12.7109375" style="1" customWidth="1"/>
    <col min="12059" max="12059" width="10.85546875" style="1" customWidth="1"/>
    <col min="12060" max="12060" width="11.28515625" style="1" customWidth="1"/>
    <col min="12061" max="12061" width="9.7109375" style="1" customWidth="1"/>
    <col min="12062" max="12062" width="11.140625" style="1" customWidth="1"/>
    <col min="12063" max="12063" width="12.42578125" style="1" customWidth="1"/>
    <col min="12064" max="12069" width="9.7109375" style="1" customWidth="1"/>
    <col min="12070" max="12070" width="6.140625" style="1" customWidth="1"/>
    <col min="12071" max="12300" width="9.140625" style="1"/>
    <col min="12301" max="12301" width="6.85546875" style="1" customWidth="1"/>
    <col min="12302" max="12302" width="27.42578125" style="1" customWidth="1"/>
    <col min="12303" max="12303" width="12.85546875" style="1" customWidth="1"/>
    <col min="12304" max="12304" width="0" style="1" hidden="1" customWidth="1"/>
    <col min="12305" max="12305" width="40.42578125" style="1" customWidth="1"/>
    <col min="12306" max="12306" width="9.140625" style="1" customWidth="1"/>
    <col min="12307" max="12308" width="11" style="1" customWidth="1"/>
    <col min="12309" max="12309" width="12.28515625" style="1" customWidth="1"/>
    <col min="12310" max="12312" width="12.85546875" style="1" customWidth="1"/>
    <col min="12313" max="12313" width="10.7109375" style="1" customWidth="1"/>
    <col min="12314" max="12314" width="12.7109375" style="1" customWidth="1"/>
    <col min="12315" max="12315" width="10.85546875" style="1" customWidth="1"/>
    <col min="12316" max="12316" width="11.28515625" style="1" customWidth="1"/>
    <col min="12317" max="12317" width="9.7109375" style="1" customWidth="1"/>
    <col min="12318" max="12318" width="11.140625" style="1" customWidth="1"/>
    <col min="12319" max="12319" width="12.42578125" style="1" customWidth="1"/>
    <col min="12320" max="12325" width="9.7109375" style="1" customWidth="1"/>
    <col min="12326" max="12326" width="6.140625" style="1" customWidth="1"/>
    <col min="12327" max="12556" width="9.140625" style="1"/>
    <col min="12557" max="12557" width="6.85546875" style="1" customWidth="1"/>
    <col min="12558" max="12558" width="27.42578125" style="1" customWidth="1"/>
    <col min="12559" max="12559" width="12.85546875" style="1" customWidth="1"/>
    <col min="12560" max="12560" width="0" style="1" hidden="1" customWidth="1"/>
    <col min="12561" max="12561" width="40.42578125" style="1" customWidth="1"/>
    <col min="12562" max="12562" width="9.140625" style="1" customWidth="1"/>
    <col min="12563" max="12564" width="11" style="1" customWidth="1"/>
    <col min="12565" max="12565" width="12.28515625" style="1" customWidth="1"/>
    <col min="12566" max="12568" width="12.85546875" style="1" customWidth="1"/>
    <col min="12569" max="12569" width="10.7109375" style="1" customWidth="1"/>
    <col min="12570" max="12570" width="12.7109375" style="1" customWidth="1"/>
    <col min="12571" max="12571" width="10.85546875" style="1" customWidth="1"/>
    <col min="12572" max="12572" width="11.28515625" style="1" customWidth="1"/>
    <col min="12573" max="12573" width="9.7109375" style="1" customWidth="1"/>
    <col min="12574" max="12574" width="11.140625" style="1" customWidth="1"/>
    <col min="12575" max="12575" width="12.42578125" style="1" customWidth="1"/>
    <col min="12576" max="12581" width="9.7109375" style="1" customWidth="1"/>
    <col min="12582" max="12582" width="6.140625" style="1" customWidth="1"/>
    <col min="12583" max="12812" width="9.140625" style="1"/>
    <col min="12813" max="12813" width="6.85546875" style="1" customWidth="1"/>
    <col min="12814" max="12814" width="27.42578125" style="1" customWidth="1"/>
    <col min="12815" max="12815" width="12.85546875" style="1" customWidth="1"/>
    <col min="12816" max="12816" width="0" style="1" hidden="1" customWidth="1"/>
    <col min="12817" max="12817" width="40.42578125" style="1" customWidth="1"/>
    <col min="12818" max="12818" width="9.140625" style="1" customWidth="1"/>
    <col min="12819" max="12820" width="11" style="1" customWidth="1"/>
    <col min="12821" max="12821" width="12.28515625" style="1" customWidth="1"/>
    <col min="12822" max="12824" width="12.85546875" style="1" customWidth="1"/>
    <col min="12825" max="12825" width="10.7109375" style="1" customWidth="1"/>
    <col min="12826" max="12826" width="12.7109375" style="1" customWidth="1"/>
    <col min="12827" max="12827" width="10.85546875" style="1" customWidth="1"/>
    <col min="12828" max="12828" width="11.28515625" style="1" customWidth="1"/>
    <col min="12829" max="12829" width="9.7109375" style="1" customWidth="1"/>
    <col min="12830" max="12830" width="11.140625" style="1" customWidth="1"/>
    <col min="12831" max="12831" width="12.42578125" style="1" customWidth="1"/>
    <col min="12832" max="12837" width="9.7109375" style="1" customWidth="1"/>
    <col min="12838" max="12838" width="6.140625" style="1" customWidth="1"/>
    <col min="12839" max="13068" width="9.140625" style="1"/>
    <col min="13069" max="13069" width="6.85546875" style="1" customWidth="1"/>
    <col min="13070" max="13070" width="27.42578125" style="1" customWidth="1"/>
    <col min="13071" max="13071" width="12.85546875" style="1" customWidth="1"/>
    <col min="13072" max="13072" width="0" style="1" hidden="1" customWidth="1"/>
    <col min="13073" max="13073" width="40.42578125" style="1" customWidth="1"/>
    <col min="13074" max="13074" width="9.140625" style="1" customWidth="1"/>
    <col min="13075" max="13076" width="11" style="1" customWidth="1"/>
    <col min="13077" max="13077" width="12.28515625" style="1" customWidth="1"/>
    <col min="13078" max="13080" width="12.85546875" style="1" customWidth="1"/>
    <col min="13081" max="13081" width="10.7109375" style="1" customWidth="1"/>
    <col min="13082" max="13082" width="12.7109375" style="1" customWidth="1"/>
    <col min="13083" max="13083" width="10.85546875" style="1" customWidth="1"/>
    <col min="13084" max="13084" width="11.28515625" style="1" customWidth="1"/>
    <col min="13085" max="13085" width="9.7109375" style="1" customWidth="1"/>
    <col min="13086" max="13086" width="11.140625" style="1" customWidth="1"/>
    <col min="13087" max="13087" width="12.42578125" style="1" customWidth="1"/>
    <col min="13088" max="13093" width="9.7109375" style="1" customWidth="1"/>
    <col min="13094" max="13094" width="6.140625" style="1" customWidth="1"/>
    <col min="13095" max="13324" width="9.140625" style="1"/>
    <col min="13325" max="13325" width="6.85546875" style="1" customWidth="1"/>
    <col min="13326" max="13326" width="27.42578125" style="1" customWidth="1"/>
    <col min="13327" max="13327" width="12.85546875" style="1" customWidth="1"/>
    <col min="13328" max="13328" width="0" style="1" hidden="1" customWidth="1"/>
    <col min="13329" max="13329" width="40.42578125" style="1" customWidth="1"/>
    <col min="13330" max="13330" width="9.140625" style="1" customWidth="1"/>
    <col min="13331" max="13332" width="11" style="1" customWidth="1"/>
    <col min="13333" max="13333" width="12.28515625" style="1" customWidth="1"/>
    <col min="13334" max="13336" width="12.85546875" style="1" customWidth="1"/>
    <col min="13337" max="13337" width="10.7109375" style="1" customWidth="1"/>
    <col min="13338" max="13338" width="12.7109375" style="1" customWidth="1"/>
    <col min="13339" max="13339" width="10.85546875" style="1" customWidth="1"/>
    <col min="13340" max="13340" width="11.28515625" style="1" customWidth="1"/>
    <col min="13341" max="13341" width="9.7109375" style="1" customWidth="1"/>
    <col min="13342" max="13342" width="11.140625" style="1" customWidth="1"/>
    <col min="13343" max="13343" width="12.42578125" style="1" customWidth="1"/>
    <col min="13344" max="13349" width="9.7109375" style="1" customWidth="1"/>
    <col min="13350" max="13350" width="6.140625" style="1" customWidth="1"/>
    <col min="13351" max="13580" width="9.140625" style="1"/>
    <col min="13581" max="13581" width="6.85546875" style="1" customWidth="1"/>
    <col min="13582" max="13582" width="27.42578125" style="1" customWidth="1"/>
    <col min="13583" max="13583" width="12.85546875" style="1" customWidth="1"/>
    <col min="13584" max="13584" width="0" style="1" hidden="1" customWidth="1"/>
    <col min="13585" max="13585" width="40.42578125" style="1" customWidth="1"/>
    <col min="13586" max="13586" width="9.140625" style="1" customWidth="1"/>
    <col min="13587" max="13588" width="11" style="1" customWidth="1"/>
    <col min="13589" max="13589" width="12.28515625" style="1" customWidth="1"/>
    <col min="13590" max="13592" width="12.85546875" style="1" customWidth="1"/>
    <col min="13593" max="13593" width="10.7109375" style="1" customWidth="1"/>
    <col min="13594" max="13594" width="12.7109375" style="1" customWidth="1"/>
    <col min="13595" max="13595" width="10.85546875" style="1" customWidth="1"/>
    <col min="13596" max="13596" width="11.28515625" style="1" customWidth="1"/>
    <col min="13597" max="13597" width="9.7109375" style="1" customWidth="1"/>
    <col min="13598" max="13598" width="11.140625" style="1" customWidth="1"/>
    <col min="13599" max="13599" width="12.42578125" style="1" customWidth="1"/>
    <col min="13600" max="13605" width="9.7109375" style="1" customWidth="1"/>
    <col min="13606" max="13606" width="6.140625" style="1" customWidth="1"/>
    <col min="13607" max="13836" width="9.140625" style="1"/>
    <col min="13837" max="13837" width="6.85546875" style="1" customWidth="1"/>
    <col min="13838" max="13838" width="27.42578125" style="1" customWidth="1"/>
    <col min="13839" max="13839" width="12.85546875" style="1" customWidth="1"/>
    <col min="13840" max="13840" width="0" style="1" hidden="1" customWidth="1"/>
    <col min="13841" max="13841" width="40.42578125" style="1" customWidth="1"/>
    <col min="13842" max="13842" width="9.140625" style="1" customWidth="1"/>
    <col min="13843" max="13844" width="11" style="1" customWidth="1"/>
    <col min="13845" max="13845" width="12.28515625" style="1" customWidth="1"/>
    <col min="13846" max="13848" width="12.85546875" style="1" customWidth="1"/>
    <col min="13849" max="13849" width="10.7109375" style="1" customWidth="1"/>
    <col min="13850" max="13850" width="12.7109375" style="1" customWidth="1"/>
    <col min="13851" max="13851" width="10.85546875" style="1" customWidth="1"/>
    <col min="13852" max="13852" width="11.28515625" style="1" customWidth="1"/>
    <col min="13853" max="13853" width="9.7109375" style="1" customWidth="1"/>
    <col min="13854" max="13854" width="11.140625" style="1" customWidth="1"/>
    <col min="13855" max="13855" width="12.42578125" style="1" customWidth="1"/>
    <col min="13856" max="13861" width="9.7109375" style="1" customWidth="1"/>
    <col min="13862" max="13862" width="6.140625" style="1" customWidth="1"/>
    <col min="13863" max="14092" width="9.140625" style="1"/>
    <col min="14093" max="14093" width="6.85546875" style="1" customWidth="1"/>
    <col min="14094" max="14094" width="27.42578125" style="1" customWidth="1"/>
    <col min="14095" max="14095" width="12.85546875" style="1" customWidth="1"/>
    <col min="14096" max="14096" width="0" style="1" hidden="1" customWidth="1"/>
    <col min="14097" max="14097" width="40.42578125" style="1" customWidth="1"/>
    <col min="14098" max="14098" width="9.140625" style="1" customWidth="1"/>
    <col min="14099" max="14100" width="11" style="1" customWidth="1"/>
    <col min="14101" max="14101" width="12.28515625" style="1" customWidth="1"/>
    <col min="14102" max="14104" width="12.85546875" style="1" customWidth="1"/>
    <col min="14105" max="14105" width="10.7109375" style="1" customWidth="1"/>
    <col min="14106" max="14106" width="12.7109375" style="1" customWidth="1"/>
    <col min="14107" max="14107" width="10.85546875" style="1" customWidth="1"/>
    <col min="14108" max="14108" width="11.28515625" style="1" customWidth="1"/>
    <col min="14109" max="14109" width="9.7109375" style="1" customWidth="1"/>
    <col min="14110" max="14110" width="11.140625" style="1" customWidth="1"/>
    <col min="14111" max="14111" width="12.42578125" style="1" customWidth="1"/>
    <col min="14112" max="14117" width="9.7109375" style="1" customWidth="1"/>
    <col min="14118" max="14118" width="6.140625" style="1" customWidth="1"/>
    <col min="14119" max="14348" width="9.140625" style="1"/>
    <col min="14349" max="14349" width="6.85546875" style="1" customWidth="1"/>
    <col min="14350" max="14350" width="27.42578125" style="1" customWidth="1"/>
    <col min="14351" max="14351" width="12.85546875" style="1" customWidth="1"/>
    <col min="14352" max="14352" width="0" style="1" hidden="1" customWidth="1"/>
    <col min="14353" max="14353" width="40.42578125" style="1" customWidth="1"/>
    <col min="14354" max="14354" width="9.140625" style="1" customWidth="1"/>
    <col min="14355" max="14356" width="11" style="1" customWidth="1"/>
    <col min="14357" max="14357" width="12.28515625" style="1" customWidth="1"/>
    <col min="14358" max="14360" width="12.85546875" style="1" customWidth="1"/>
    <col min="14361" max="14361" width="10.7109375" style="1" customWidth="1"/>
    <col min="14362" max="14362" width="12.7109375" style="1" customWidth="1"/>
    <col min="14363" max="14363" width="10.85546875" style="1" customWidth="1"/>
    <col min="14364" max="14364" width="11.28515625" style="1" customWidth="1"/>
    <col min="14365" max="14365" width="9.7109375" style="1" customWidth="1"/>
    <col min="14366" max="14366" width="11.140625" style="1" customWidth="1"/>
    <col min="14367" max="14367" width="12.42578125" style="1" customWidth="1"/>
    <col min="14368" max="14373" width="9.7109375" style="1" customWidth="1"/>
    <col min="14374" max="14374" width="6.140625" style="1" customWidth="1"/>
    <col min="14375" max="14604" width="9.140625" style="1"/>
    <col min="14605" max="14605" width="6.85546875" style="1" customWidth="1"/>
    <col min="14606" max="14606" width="27.42578125" style="1" customWidth="1"/>
    <col min="14607" max="14607" width="12.85546875" style="1" customWidth="1"/>
    <col min="14608" max="14608" width="0" style="1" hidden="1" customWidth="1"/>
    <col min="14609" max="14609" width="40.42578125" style="1" customWidth="1"/>
    <col min="14610" max="14610" width="9.140625" style="1" customWidth="1"/>
    <col min="14611" max="14612" width="11" style="1" customWidth="1"/>
    <col min="14613" max="14613" width="12.28515625" style="1" customWidth="1"/>
    <col min="14614" max="14616" width="12.85546875" style="1" customWidth="1"/>
    <col min="14617" max="14617" width="10.7109375" style="1" customWidth="1"/>
    <col min="14618" max="14618" width="12.7109375" style="1" customWidth="1"/>
    <col min="14619" max="14619" width="10.85546875" style="1" customWidth="1"/>
    <col min="14620" max="14620" width="11.28515625" style="1" customWidth="1"/>
    <col min="14621" max="14621" width="9.7109375" style="1" customWidth="1"/>
    <col min="14622" max="14622" width="11.140625" style="1" customWidth="1"/>
    <col min="14623" max="14623" width="12.42578125" style="1" customWidth="1"/>
    <col min="14624" max="14629" width="9.7109375" style="1" customWidth="1"/>
    <col min="14630" max="14630" width="6.140625" style="1" customWidth="1"/>
    <col min="14631" max="14860" width="9.140625" style="1"/>
    <col min="14861" max="14861" width="6.85546875" style="1" customWidth="1"/>
    <col min="14862" max="14862" width="27.42578125" style="1" customWidth="1"/>
    <col min="14863" max="14863" width="12.85546875" style="1" customWidth="1"/>
    <col min="14864" max="14864" width="0" style="1" hidden="1" customWidth="1"/>
    <col min="14865" max="14865" width="40.42578125" style="1" customWidth="1"/>
    <col min="14866" max="14866" width="9.140625" style="1" customWidth="1"/>
    <col min="14867" max="14868" width="11" style="1" customWidth="1"/>
    <col min="14869" max="14869" width="12.28515625" style="1" customWidth="1"/>
    <col min="14870" max="14872" width="12.85546875" style="1" customWidth="1"/>
    <col min="14873" max="14873" width="10.7109375" style="1" customWidth="1"/>
    <col min="14874" max="14874" width="12.7109375" style="1" customWidth="1"/>
    <col min="14875" max="14875" width="10.85546875" style="1" customWidth="1"/>
    <col min="14876" max="14876" width="11.28515625" style="1" customWidth="1"/>
    <col min="14877" max="14877" width="9.7109375" style="1" customWidth="1"/>
    <col min="14878" max="14878" width="11.140625" style="1" customWidth="1"/>
    <col min="14879" max="14879" width="12.42578125" style="1" customWidth="1"/>
    <col min="14880" max="14885" width="9.7109375" style="1" customWidth="1"/>
    <col min="14886" max="14886" width="6.140625" style="1" customWidth="1"/>
    <col min="14887" max="15116" width="9.140625" style="1"/>
    <col min="15117" max="15117" width="6.85546875" style="1" customWidth="1"/>
    <col min="15118" max="15118" width="27.42578125" style="1" customWidth="1"/>
    <col min="15119" max="15119" width="12.85546875" style="1" customWidth="1"/>
    <col min="15120" max="15120" width="0" style="1" hidden="1" customWidth="1"/>
    <col min="15121" max="15121" width="40.42578125" style="1" customWidth="1"/>
    <col min="15122" max="15122" width="9.140625" style="1" customWidth="1"/>
    <col min="15123" max="15124" width="11" style="1" customWidth="1"/>
    <col min="15125" max="15125" width="12.28515625" style="1" customWidth="1"/>
    <col min="15126" max="15128" width="12.85546875" style="1" customWidth="1"/>
    <col min="15129" max="15129" width="10.7109375" style="1" customWidth="1"/>
    <col min="15130" max="15130" width="12.7109375" style="1" customWidth="1"/>
    <col min="15131" max="15131" width="10.85546875" style="1" customWidth="1"/>
    <col min="15132" max="15132" width="11.28515625" style="1" customWidth="1"/>
    <col min="15133" max="15133" width="9.7109375" style="1" customWidth="1"/>
    <col min="15134" max="15134" width="11.140625" style="1" customWidth="1"/>
    <col min="15135" max="15135" width="12.42578125" style="1" customWidth="1"/>
    <col min="15136" max="15141" width="9.7109375" style="1" customWidth="1"/>
    <col min="15142" max="15142" width="6.140625" style="1" customWidth="1"/>
    <col min="15143" max="15372" width="9.140625" style="1"/>
    <col min="15373" max="15373" width="6.85546875" style="1" customWidth="1"/>
    <col min="15374" max="15374" width="27.42578125" style="1" customWidth="1"/>
    <col min="15375" max="15375" width="12.85546875" style="1" customWidth="1"/>
    <col min="15376" max="15376" width="0" style="1" hidden="1" customWidth="1"/>
    <col min="15377" max="15377" width="40.42578125" style="1" customWidth="1"/>
    <col min="15378" max="15378" width="9.140625" style="1" customWidth="1"/>
    <col min="15379" max="15380" width="11" style="1" customWidth="1"/>
    <col min="15381" max="15381" width="12.28515625" style="1" customWidth="1"/>
    <col min="15382" max="15384" width="12.85546875" style="1" customWidth="1"/>
    <col min="15385" max="15385" width="10.7109375" style="1" customWidth="1"/>
    <col min="15386" max="15386" width="12.7109375" style="1" customWidth="1"/>
    <col min="15387" max="15387" width="10.85546875" style="1" customWidth="1"/>
    <col min="15388" max="15388" width="11.28515625" style="1" customWidth="1"/>
    <col min="15389" max="15389" width="9.7109375" style="1" customWidth="1"/>
    <col min="15390" max="15390" width="11.140625" style="1" customWidth="1"/>
    <col min="15391" max="15391" width="12.42578125" style="1" customWidth="1"/>
    <col min="15392" max="15397" width="9.7109375" style="1" customWidth="1"/>
    <col min="15398" max="15398" width="6.140625" style="1" customWidth="1"/>
    <col min="15399" max="15628" width="9.140625" style="1"/>
    <col min="15629" max="15629" width="6.85546875" style="1" customWidth="1"/>
    <col min="15630" max="15630" width="27.42578125" style="1" customWidth="1"/>
    <col min="15631" max="15631" width="12.85546875" style="1" customWidth="1"/>
    <col min="15632" max="15632" width="0" style="1" hidden="1" customWidth="1"/>
    <col min="15633" max="15633" width="40.42578125" style="1" customWidth="1"/>
    <col min="15634" max="15634" width="9.140625" style="1" customWidth="1"/>
    <col min="15635" max="15636" width="11" style="1" customWidth="1"/>
    <col min="15637" max="15637" width="12.28515625" style="1" customWidth="1"/>
    <col min="15638" max="15640" width="12.85546875" style="1" customWidth="1"/>
    <col min="15641" max="15641" width="10.7109375" style="1" customWidth="1"/>
    <col min="15642" max="15642" width="12.7109375" style="1" customWidth="1"/>
    <col min="15643" max="15643" width="10.85546875" style="1" customWidth="1"/>
    <col min="15644" max="15644" width="11.28515625" style="1" customWidth="1"/>
    <col min="15645" max="15645" width="9.7109375" style="1" customWidth="1"/>
    <col min="15646" max="15646" width="11.140625" style="1" customWidth="1"/>
    <col min="15647" max="15647" width="12.42578125" style="1" customWidth="1"/>
    <col min="15648" max="15653" width="9.7109375" style="1" customWidth="1"/>
    <col min="15654" max="15654" width="6.140625" style="1" customWidth="1"/>
    <col min="15655" max="15884" width="9.140625" style="1"/>
    <col min="15885" max="15885" width="6.85546875" style="1" customWidth="1"/>
    <col min="15886" max="15886" width="27.42578125" style="1" customWidth="1"/>
    <col min="15887" max="15887" width="12.85546875" style="1" customWidth="1"/>
    <col min="15888" max="15888" width="0" style="1" hidden="1" customWidth="1"/>
    <col min="15889" max="15889" width="40.42578125" style="1" customWidth="1"/>
    <col min="15890" max="15890" width="9.140625" style="1" customWidth="1"/>
    <col min="15891" max="15892" width="11" style="1" customWidth="1"/>
    <col min="15893" max="15893" width="12.28515625" style="1" customWidth="1"/>
    <col min="15894" max="15896" width="12.85546875" style="1" customWidth="1"/>
    <col min="15897" max="15897" width="10.7109375" style="1" customWidth="1"/>
    <col min="15898" max="15898" width="12.7109375" style="1" customWidth="1"/>
    <col min="15899" max="15899" width="10.85546875" style="1" customWidth="1"/>
    <col min="15900" max="15900" width="11.28515625" style="1" customWidth="1"/>
    <col min="15901" max="15901" width="9.7109375" style="1" customWidth="1"/>
    <col min="15902" max="15902" width="11.140625" style="1" customWidth="1"/>
    <col min="15903" max="15903" width="12.42578125" style="1" customWidth="1"/>
    <col min="15904" max="15909" width="9.7109375" style="1" customWidth="1"/>
    <col min="15910" max="15910" width="6.140625" style="1" customWidth="1"/>
    <col min="15911" max="16140" width="9.140625" style="1"/>
    <col min="16141" max="16141" width="6.85546875" style="1" customWidth="1"/>
    <col min="16142" max="16142" width="27.42578125" style="1" customWidth="1"/>
    <col min="16143" max="16143" width="12.85546875" style="1" customWidth="1"/>
    <col min="16144" max="16144" width="0" style="1" hidden="1" customWidth="1"/>
    <col min="16145" max="16145" width="40.42578125" style="1" customWidth="1"/>
    <col min="16146" max="16146" width="9.140625" style="1" customWidth="1"/>
    <col min="16147" max="16148" width="11" style="1" customWidth="1"/>
    <col min="16149" max="16149" width="12.28515625" style="1" customWidth="1"/>
    <col min="16150" max="16152" width="12.85546875" style="1" customWidth="1"/>
    <col min="16153" max="16153" width="10.7109375" style="1" customWidth="1"/>
    <col min="16154" max="16154" width="12.7109375" style="1" customWidth="1"/>
    <col min="16155" max="16155" width="10.85546875" style="1" customWidth="1"/>
    <col min="16156" max="16156" width="11.28515625" style="1" customWidth="1"/>
    <col min="16157" max="16157" width="9.7109375" style="1" customWidth="1"/>
    <col min="16158" max="16158" width="11.140625" style="1" customWidth="1"/>
    <col min="16159" max="16159" width="12.42578125" style="1" customWidth="1"/>
    <col min="16160" max="16165" width="9.7109375" style="1" customWidth="1"/>
    <col min="16166" max="16166" width="6.140625" style="1" customWidth="1"/>
    <col min="16167" max="16384" width="9.140625" style="1"/>
  </cols>
  <sheetData>
    <row r="1" spans="1:44" ht="22.15" customHeight="1">
      <c r="B1" s="457" t="s">
        <v>1095</v>
      </c>
      <c r="C1" s="406"/>
      <c r="D1" s="406"/>
      <c r="E1" s="406"/>
      <c r="F1" s="406"/>
      <c r="G1" s="406"/>
      <c r="H1" s="406"/>
      <c r="I1" s="406"/>
      <c r="J1" s="406"/>
      <c r="K1" s="476"/>
      <c r="L1" s="406"/>
      <c r="M1" s="406"/>
      <c r="N1" s="476"/>
      <c r="O1" s="406"/>
      <c r="P1" s="406"/>
      <c r="Q1" s="536"/>
      <c r="R1" s="406"/>
      <c r="S1" s="406"/>
      <c r="T1" s="406"/>
      <c r="U1" s="406"/>
      <c r="V1" s="406"/>
      <c r="W1" s="406"/>
      <c r="X1" s="406"/>
      <c r="Y1" s="406"/>
      <c r="Z1" s="406"/>
      <c r="AA1" s="406"/>
      <c r="AB1" s="476"/>
      <c r="AC1" s="476"/>
      <c r="AD1" s="406"/>
      <c r="AE1" s="476"/>
      <c r="AF1" s="476"/>
      <c r="AG1" s="406"/>
      <c r="AH1" s="476"/>
      <c r="AI1" s="476"/>
      <c r="AJ1" s="406"/>
      <c r="AK1" s="653" t="s">
        <v>1096</v>
      </c>
      <c r="AL1" s="653"/>
    </row>
    <row r="2" spans="1:44" ht="33.75" customHeight="1">
      <c r="A2" s="654" t="s">
        <v>1093</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row>
    <row r="3" spans="1:44">
      <c r="A3" s="642" t="str">
        <f>+'[1]Phụ lục 1'!$A$3:$L$3</f>
        <v>(Kèm theo Quyết định số         /QĐ-UBND ngày             /10/2022 của UBND huyện Na Rì)</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2"/>
    </row>
    <row r="4" spans="1:44">
      <c r="A4" s="2"/>
      <c r="B4" s="234"/>
      <c r="C4" s="2"/>
      <c r="D4" s="2"/>
      <c r="E4" s="2"/>
      <c r="F4" s="2"/>
      <c r="G4" s="235"/>
      <c r="H4" s="282"/>
      <c r="I4" s="643" t="s">
        <v>0</v>
      </c>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643"/>
      <c r="AK4" s="643"/>
      <c r="AL4" s="643"/>
    </row>
    <row r="5" spans="1:44" ht="36" customHeight="1">
      <c r="A5" s="644" t="s">
        <v>1</v>
      </c>
      <c r="B5" s="645" t="s">
        <v>2</v>
      </c>
      <c r="C5" s="644" t="s">
        <v>3</v>
      </c>
      <c r="D5" s="548"/>
      <c r="E5" s="644" t="s">
        <v>4</v>
      </c>
      <c r="F5" s="644" t="s">
        <v>5</v>
      </c>
      <c r="G5" s="655" t="s">
        <v>6</v>
      </c>
      <c r="H5" s="656"/>
      <c r="I5" s="656"/>
      <c r="J5" s="657"/>
      <c r="K5" s="644" t="s">
        <v>1102</v>
      </c>
      <c r="L5" s="644"/>
      <c r="M5" s="644"/>
      <c r="N5" s="644" t="s">
        <v>1103</v>
      </c>
      <c r="O5" s="644"/>
      <c r="P5" s="644"/>
      <c r="Q5" s="644" t="s">
        <v>1099</v>
      </c>
      <c r="R5" s="644"/>
      <c r="S5" s="644"/>
      <c r="T5" s="647" t="s">
        <v>8</v>
      </c>
      <c r="U5" s="655" t="s">
        <v>1105</v>
      </c>
      <c r="V5" s="656"/>
      <c r="W5" s="657"/>
      <c r="X5" s="655" t="s">
        <v>7</v>
      </c>
      <c r="Y5" s="656"/>
      <c r="Z5" s="656"/>
      <c r="AA5" s="644" t="s">
        <v>915</v>
      </c>
      <c r="AB5" s="644"/>
      <c r="AC5" s="644"/>
      <c r="AD5" s="655" t="s">
        <v>1106</v>
      </c>
      <c r="AE5" s="656"/>
      <c r="AF5" s="656"/>
      <c r="AG5" s="655" t="s">
        <v>1107</v>
      </c>
      <c r="AH5" s="656"/>
      <c r="AI5" s="656"/>
      <c r="AJ5" s="549"/>
      <c r="AK5" s="461"/>
      <c r="AL5" s="644" t="s">
        <v>8</v>
      </c>
    </row>
    <row r="6" spans="1:44" ht="42.75">
      <c r="A6" s="644"/>
      <c r="B6" s="645"/>
      <c r="C6" s="644"/>
      <c r="D6" s="548"/>
      <c r="E6" s="644"/>
      <c r="F6" s="644"/>
      <c r="G6" s="550" t="s">
        <v>9</v>
      </c>
      <c r="H6" s="283" t="s">
        <v>10</v>
      </c>
      <c r="I6" s="550" t="s">
        <v>11</v>
      </c>
      <c r="J6" s="550" t="s">
        <v>12</v>
      </c>
      <c r="K6" s="526" t="s">
        <v>9</v>
      </c>
      <c r="L6" s="281" t="s">
        <v>10</v>
      </c>
      <c r="M6" s="548" t="s">
        <v>11</v>
      </c>
      <c r="N6" s="526" t="s">
        <v>9</v>
      </c>
      <c r="O6" s="281" t="s">
        <v>10</v>
      </c>
      <c r="P6" s="548" t="s">
        <v>11</v>
      </c>
      <c r="Q6" s="537" t="s">
        <v>9</v>
      </c>
      <c r="R6" s="281" t="s">
        <v>10</v>
      </c>
      <c r="S6" s="548" t="s">
        <v>11</v>
      </c>
      <c r="T6" s="632"/>
      <c r="U6" s="550" t="s">
        <v>9</v>
      </c>
      <c r="V6" s="550" t="s">
        <v>10</v>
      </c>
      <c r="W6" s="550" t="s">
        <v>11</v>
      </c>
      <c r="X6" s="550" t="s">
        <v>9</v>
      </c>
      <c r="Y6" s="550" t="s">
        <v>10</v>
      </c>
      <c r="Z6" s="550" t="s">
        <v>11</v>
      </c>
      <c r="AA6" s="550" t="s">
        <v>9</v>
      </c>
      <c r="AB6" s="477" t="s">
        <v>10</v>
      </c>
      <c r="AC6" s="477" t="s">
        <v>11</v>
      </c>
      <c r="AD6" s="550" t="s">
        <v>9</v>
      </c>
      <c r="AE6" s="477" t="s">
        <v>10</v>
      </c>
      <c r="AF6" s="477" t="s">
        <v>11</v>
      </c>
      <c r="AG6" s="550" t="s">
        <v>9</v>
      </c>
      <c r="AH6" s="477" t="s">
        <v>10</v>
      </c>
      <c r="AI6" s="477" t="s">
        <v>11</v>
      </c>
      <c r="AJ6" s="550"/>
      <c r="AK6" s="550" t="s">
        <v>12</v>
      </c>
      <c r="AL6" s="644"/>
    </row>
    <row r="7" spans="1:44">
      <c r="A7" s="4" t="s">
        <v>48</v>
      </c>
      <c r="B7" s="4" t="s">
        <v>49</v>
      </c>
      <c r="C7" s="4" t="s">
        <v>1083</v>
      </c>
      <c r="D7" s="4"/>
      <c r="E7" s="4"/>
      <c r="F7" s="4">
        <v>1</v>
      </c>
      <c r="G7" s="425">
        <f>+F7+1</f>
        <v>2</v>
      </c>
      <c r="H7" s="425">
        <f t="shared" ref="H7:AL7" si="0">+G7+1</f>
        <v>3</v>
      </c>
      <c r="I7" s="425">
        <f t="shared" si="0"/>
        <v>4</v>
      </c>
      <c r="J7" s="425">
        <f t="shared" si="0"/>
        <v>5</v>
      </c>
      <c r="K7" s="478"/>
      <c r="L7" s="425"/>
      <c r="M7" s="425"/>
      <c r="N7" s="478"/>
      <c r="O7" s="425"/>
      <c r="P7" s="425"/>
      <c r="Q7" s="538"/>
      <c r="R7" s="425"/>
      <c r="S7" s="425"/>
      <c r="T7" s="425"/>
      <c r="U7" s="425"/>
      <c r="V7" s="425"/>
      <c r="W7" s="425"/>
      <c r="X7" s="425">
        <f>+J7+1</f>
        <v>6</v>
      </c>
      <c r="Y7" s="425">
        <f t="shared" si="0"/>
        <v>7</v>
      </c>
      <c r="Z7" s="425">
        <f t="shared" si="0"/>
        <v>8</v>
      </c>
      <c r="AA7" s="425"/>
      <c r="AB7" s="478"/>
      <c r="AC7" s="478"/>
      <c r="AD7" s="425"/>
      <c r="AE7" s="478"/>
      <c r="AF7" s="478"/>
      <c r="AG7" s="425"/>
      <c r="AH7" s="478"/>
      <c r="AI7" s="478"/>
      <c r="AJ7" s="425"/>
      <c r="AK7" s="425">
        <f>+Z7+1</f>
        <v>9</v>
      </c>
      <c r="AL7" s="425">
        <f t="shared" si="0"/>
        <v>10</v>
      </c>
    </row>
    <row r="8" spans="1:44" ht="33" hidden="1" customHeight="1">
      <c r="A8" s="4"/>
      <c r="B8" s="548" t="s">
        <v>13</v>
      </c>
      <c r="C8" s="4"/>
      <c r="D8" s="4"/>
      <c r="E8" s="4"/>
      <c r="F8" s="4"/>
      <c r="G8" s="323">
        <f>+G10+G13+G285</f>
        <v>172054</v>
      </c>
      <c r="H8" s="323">
        <f>+H10+H13+H285</f>
        <v>163552</v>
      </c>
      <c r="I8" s="323">
        <f>+I10+I13+I285</f>
        <v>8501.9999999999982</v>
      </c>
      <c r="J8" s="323">
        <f>+J10+J13+J285</f>
        <v>0</v>
      </c>
      <c r="K8" s="479"/>
      <c r="L8" s="323"/>
      <c r="M8" s="323"/>
      <c r="N8" s="479"/>
      <c r="O8" s="323"/>
      <c r="P8" s="323"/>
      <c r="Q8" s="539"/>
      <c r="R8" s="323"/>
      <c r="S8" s="323"/>
      <c r="T8" s="323"/>
      <c r="U8" s="323"/>
      <c r="V8" s="323"/>
      <c r="W8" s="323"/>
      <c r="X8" s="323">
        <f>+X10+X13+X285</f>
        <v>29412</v>
      </c>
      <c r="Y8" s="323">
        <f>+Y10+Y13+Y285</f>
        <v>27995.999999999996</v>
      </c>
      <c r="Z8" s="323">
        <f>+Z10+Z13+Z285</f>
        <v>1416</v>
      </c>
      <c r="AA8" s="323"/>
      <c r="AB8" s="479"/>
      <c r="AC8" s="479"/>
      <c r="AD8" s="323"/>
      <c r="AE8" s="479"/>
      <c r="AF8" s="479"/>
      <c r="AG8" s="323"/>
      <c r="AH8" s="479"/>
      <c r="AI8" s="479"/>
      <c r="AJ8" s="323"/>
      <c r="AK8" s="323">
        <f>+AK10+AK13+AK285</f>
        <v>190</v>
      </c>
      <c r="AL8" s="4"/>
    </row>
    <row r="9" spans="1:44" ht="33" customHeight="1">
      <c r="A9" s="4"/>
      <c r="B9" s="548" t="s">
        <v>1176</v>
      </c>
      <c r="C9" s="4"/>
      <c r="D9" s="4"/>
      <c r="E9" s="4"/>
      <c r="F9" s="4"/>
      <c r="G9" s="323">
        <f>+G10+G13+G285</f>
        <v>172054</v>
      </c>
      <c r="H9" s="323">
        <f t="shared" ref="H9:T9" si="1">+H10+H13+H285</f>
        <v>163552</v>
      </c>
      <c r="I9" s="323">
        <f t="shared" si="1"/>
        <v>8501.9999999999982</v>
      </c>
      <c r="J9" s="323">
        <f t="shared" si="1"/>
        <v>0</v>
      </c>
      <c r="K9" s="323">
        <f t="shared" si="1"/>
        <v>20917.640799999997</v>
      </c>
      <c r="L9" s="323">
        <f t="shared" si="1"/>
        <v>19995.611500000003</v>
      </c>
      <c r="M9" s="323">
        <f t="shared" si="1"/>
        <v>927.82929999999988</v>
      </c>
      <c r="N9" s="323">
        <f t="shared" si="1"/>
        <v>22328.440799999997</v>
      </c>
      <c r="O9" s="323">
        <f t="shared" si="1"/>
        <v>21233.611499999999</v>
      </c>
      <c r="P9" s="323">
        <f t="shared" si="1"/>
        <v>1094.8292999999999</v>
      </c>
      <c r="Q9" s="323">
        <f t="shared" si="1"/>
        <v>173458.99999999997</v>
      </c>
      <c r="R9" s="323">
        <f t="shared" si="1"/>
        <v>164790</v>
      </c>
      <c r="S9" s="323">
        <f t="shared" si="1"/>
        <v>8668.9999999999982</v>
      </c>
      <c r="T9" s="323">
        <f t="shared" si="1"/>
        <v>0</v>
      </c>
      <c r="U9" s="323"/>
      <c r="V9" s="323"/>
      <c r="W9" s="323"/>
      <c r="X9" s="323"/>
      <c r="Y9" s="323"/>
      <c r="Z9" s="323"/>
      <c r="AA9" s="323"/>
      <c r="AB9" s="479"/>
      <c r="AC9" s="479"/>
      <c r="AD9" s="323"/>
      <c r="AE9" s="479"/>
      <c r="AF9" s="479"/>
      <c r="AG9" s="323"/>
      <c r="AH9" s="479"/>
      <c r="AI9" s="479"/>
      <c r="AJ9" s="323"/>
      <c r="AK9" s="323"/>
      <c r="AL9" s="4"/>
    </row>
    <row r="10" spans="1:44" ht="63" customHeight="1">
      <c r="A10" s="548" t="s">
        <v>14</v>
      </c>
      <c r="B10" s="236" t="s">
        <v>15</v>
      </c>
      <c r="C10" s="236"/>
      <c r="D10" s="236"/>
      <c r="E10" s="236"/>
      <c r="F10" s="236"/>
      <c r="G10" s="323">
        <f>+G11</f>
        <v>9796</v>
      </c>
      <c r="H10" s="323">
        <f t="shared" ref="H10:AK10" si="2">+H11</f>
        <v>9020</v>
      </c>
      <c r="I10" s="323">
        <f t="shared" si="2"/>
        <v>776</v>
      </c>
      <c r="J10" s="323">
        <f t="shared" si="2"/>
        <v>0</v>
      </c>
      <c r="K10" s="323">
        <f t="shared" si="2"/>
        <v>0</v>
      </c>
      <c r="L10" s="323">
        <f t="shared" si="2"/>
        <v>0</v>
      </c>
      <c r="M10" s="323">
        <f t="shared" si="2"/>
        <v>0</v>
      </c>
      <c r="N10" s="323">
        <f t="shared" si="2"/>
        <v>104</v>
      </c>
      <c r="O10" s="323">
        <f t="shared" si="2"/>
        <v>0</v>
      </c>
      <c r="P10" s="323">
        <f t="shared" si="2"/>
        <v>104</v>
      </c>
      <c r="Q10" s="323">
        <f t="shared" si="2"/>
        <v>9900</v>
      </c>
      <c r="R10" s="323">
        <f t="shared" si="2"/>
        <v>9020</v>
      </c>
      <c r="S10" s="323">
        <f t="shared" si="2"/>
        <v>880</v>
      </c>
      <c r="T10" s="323"/>
      <c r="U10" s="323"/>
      <c r="V10" s="323"/>
      <c r="W10" s="323"/>
      <c r="X10" s="323">
        <f t="shared" si="2"/>
        <v>530</v>
      </c>
      <c r="Y10" s="323">
        <f t="shared" si="2"/>
        <v>490</v>
      </c>
      <c r="Z10" s="323">
        <f t="shared" si="2"/>
        <v>40</v>
      </c>
      <c r="AA10" s="323"/>
      <c r="AB10" s="479"/>
      <c r="AC10" s="479"/>
      <c r="AD10" s="323"/>
      <c r="AE10" s="479"/>
      <c r="AF10" s="479"/>
      <c r="AG10" s="323"/>
      <c r="AH10" s="479"/>
      <c r="AI10" s="479"/>
      <c r="AJ10" s="323"/>
      <c r="AK10" s="323">
        <f t="shared" si="2"/>
        <v>0</v>
      </c>
      <c r="AL10" s="236"/>
    </row>
    <row r="11" spans="1:44" s="7" customFormat="1" ht="48" customHeight="1">
      <c r="A11" s="6" t="s">
        <v>16</v>
      </c>
      <c r="B11" s="658" t="s">
        <v>17</v>
      </c>
      <c r="C11" s="658"/>
      <c r="D11" s="551"/>
      <c r="E11" s="239"/>
      <c r="F11" s="128" t="s">
        <v>19</v>
      </c>
      <c r="G11" s="444">
        <f t="shared" ref="G11:G12" si="3">H11+I11</f>
        <v>9796</v>
      </c>
      <c r="H11" s="444">
        <f>SUM(H12:H12)</f>
        <v>9020</v>
      </c>
      <c r="I11" s="444">
        <f>SUM(I12:I12)</f>
        <v>776</v>
      </c>
      <c r="J11" s="444">
        <f t="shared" ref="J11:S11" si="4">SUM(J12:J12)</f>
        <v>0</v>
      </c>
      <c r="K11" s="444">
        <f t="shared" si="4"/>
        <v>0</v>
      </c>
      <c r="L11" s="444">
        <f t="shared" si="4"/>
        <v>0</v>
      </c>
      <c r="M11" s="444">
        <f t="shared" si="4"/>
        <v>0</v>
      </c>
      <c r="N11" s="444">
        <f t="shared" si="4"/>
        <v>104</v>
      </c>
      <c r="O11" s="444">
        <f t="shared" si="4"/>
        <v>0</v>
      </c>
      <c r="P11" s="444">
        <f t="shared" si="4"/>
        <v>104</v>
      </c>
      <c r="Q11" s="444">
        <f t="shared" si="4"/>
        <v>9900</v>
      </c>
      <c r="R11" s="444">
        <f t="shared" si="4"/>
        <v>9020</v>
      </c>
      <c r="S11" s="444">
        <f t="shared" si="4"/>
        <v>880</v>
      </c>
      <c r="T11" s="444"/>
      <c r="U11" s="444"/>
      <c r="V11" s="444"/>
      <c r="W11" s="444"/>
      <c r="X11" s="444">
        <f>SUM(X12:X12)</f>
        <v>530</v>
      </c>
      <c r="Y11" s="444">
        <f>SUM(Y12:Y12)</f>
        <v>490</v>
      </c>
      <c r="Z11" s="444">
        <f>SUM(Z12:Z12)</f>
        <v>40</v>
      </c>
      <c r="AA11" s="444"/>
      <c r="AB11" s="480"/>
      <c r="AC11" s="480"/>
      <c r="AD11" s="444"/>
      <c r="AE11" s="480"/>
      <c r="AF11" s="480"/>
      <c r="AG11" s="444"/>
      <c r="AH11" s="480"/>
      <c r="AI11" s="480"/>
      <c r="AJ11" s="444"/>
      <c r="AK11" s="444">
        <f>SUM(AK12:AK12)</f>
        <v>0</v>
      </c>
      <c r="AL11" s="239"/>
      <c r="AM11" s="366"/>
      <c r="AN11" s="366"/>
      <c r="AO11" s="366"/>
    </row>
    <row r="12" spans="1:44" ht="45" customHeight="1">
      <c r="A12" s="8">
        <v>1</v>
      </c>
      <c r="B12" s="241" t="s">
        <v>23</v>
      </c>
      <c r="C12" s="241"/>
      <c r="D12" s="241"/>
      <c r="E12" s="241"/>
      <c r="F12" s="9" t="s">
        <v>19</v>
      </c>
      <c r="G12" s="445">
        <f t="shared" si="3"/>
        <v>9796</v>
      </c>
      <c r="H12" s="445">
        <v>9020</v>
      </c>
      <c r="I12" s="445">
        <v>776</v>
      </c>
      <c r="J12" s="445"/>
      <c r="K12" s="481"/>
      <c r="L12" s="445"/>
      <c r="M12" s="445"/>
      <c r="N12" s="481">
        <f>+O12+P12</f>
        <v>104</v>
      </c>
      <c r="O12" s="445"/>
      <c r="P12" s="445">
        <v>104</v>
      </c>
      <c r="Q12" s="501">
        <f>+R12+S12</f>
        <v>9900</v>
      </c>
      <c r="R12" s="445">
        <f>+H12+O12</f>
        <v>9020</v>
      </c>
      <c r="S12" s="445">
        <f>+I12+P12</f>
        <v>880</v>
      </c>
      <c r="T12" s="445"/>
      <c r="U12" s="445"/>
      <c r="V12" s="445"/>
      <c r="W12" s="445"/>
      <c r="X12" s="445">
        <f t="shared" ref="X12" si="5">Y12+Z12</f>
        <v>530</v>
      </c>
      <c r="Y12" s="445">
        <v>490</v>
      </c>
      <c r="Z12" s="445">
        <v>40</v>
      </c>
      <c r="AA12" s="445"/>
      <c r="AB12" s="481"/>
      <c r="AC12" s="481"/>
      <c r="AD12" s="445"/>
      <c r="AE12" s="481"/>
      <c r="AF12" s="481"/>
      <c r="AG12" s="445"/>
      <c r="AH12" s="481"/>
      <c r="AI12" s="481"/>
      <c r="AJ12" s="445"/>
      <c r="AK12" s="445"/>
      <c r="AL12" s="241"/>
    </row>
    <row r="13" spans="1:44" ht="81" customHeight="1">
      <c r="A13" s="548" t="s">
        <v>34</v>
      </c>
      <c r="B13" s="239" t="s">
        <v>45</v>
      </c>
      <c r="C13" s="12"/>
      <c r="D13" s="12"/>
      <c r="E13" s="12"/>
      <c r="F13" s="12"/>
      <c r="G13" s="323">
        <f>+G14</f>
        <v>154894</v>
      </c>
      <c r="H13" s="323">
        <f t="shared" ref="H13:AK13" si="6">+H14</f>
        <v>147518</v>
      </c>
      <c r="I13" s="323">
        <f t="shared" si="6"/>
        <v>7375.9999999999982</v>
      </c>
      <c r="J13" s="323">
        <f t="shared" si="6"/>
        <v>0</v>
      </c>
      <c r="K13" s="323">
        <f t="shared" si="6"/>
        <v>15409.399299999997</v>
      </c>
      <c r="L13" s="323">
        <f t="shared" si="6"/>
        <v>14745.370000000003</v>
      </c>
      <c r="M13" s="323">
        <f t="shared" si="6"/>
        <v>669.82929999999988</v>
      </c>
      <c r="N13" s="323">
        <f t="shared" si="6"/>
        <v>15415.199299999997</v>
      </c>
      <c r="O13" s="323">
        <f t="shared" si="6"/>
        <v>14745.369999999999</v>
      </c>
      <c r="P13" s="323">
        <f t="shared" si="6"/>
        <v>669.82929999999999</v>
      </c>
      <c r="Q13" s="323">
        <f t="shared" si="6"/>
        <v>154893.99999999997</v>
      </c>
      <c r="R13" s="323">
        <f t="shared" si="6"/>
        <v>147518</v>
      </c>
      <c r="S13" s="323">
        <f t="shared" si="6"/>
        <v>7375.9999999999982</v>
      </c>
      <c r="T13" s="323">
        <f t="shared" si="6"/>
        <v>0</v>
      </c>
      <c r="U13" s="323"/>
      <c r="V13" s="323"/>
      <c r="W13" s="323"/>
      <c r="X13" s="323">
        <f t="shared" si="6"/>
        <v>27882</v>
      </c>
      <c r="Y13" s="323">
        <f t="shared" si="6"/>
        <v>26553.999999999996</v>
      </c>
      <c r="Z13" s="323">
        <f t="shared" si="6"/>
        <v>1328</v>
      </c>
      <c r="AA13" s="323"/>
      <c r="AB13" s="479"/>
      <c r="AC13" s="479"/>
      <c r="AD13" s="323"/>
      <c r="AE13" s="479"/>
      <c r="AF13" s="479"/>
      <c r="AG13" s="323"/>
      <c r="AH13" s="479"/>
      <c r="AI13" s="479"/>
      <c r="AJ13" s="323"/>
      <c r="AK13" s="323">
        <f t="shared" si="6"/>
        <v>190</v>
      </c>
      <c r="AL13" s="12"/>
      <c r="AM13" s="659"/>
      <c r="AN13" s="659"/>
      <c r="AO13" s="659"/>
      <c r="AP13" s="659"/>
      <c r="AQ13" s="659"/>
      <c r="AR13" s="659"/>
    </row>
    <row r="14" spans="1:44" s="7" customFormat="1" ht="94.5" customHeight="1">
      <c r="A14" s="6" t="s">
        <v>985</v>
      </c>
      <c r="B14" s="551" t="s">
        <v>1007</v>
      </c>
      <c r="C14" s="128"/>
      <c r="D14" s="128"/>
      <c r="E14" s="128"/>
      <c r="F14" s="128"/>
      <c r="G14" s="475">
        <f>G15+G31+G46+G56+G69+G84+G105+G120+G152+G136+G163+G181+G198+G218+G223+G238+G252</f>
        <v>154894</v>
      </c>
      <c r="H14" s="475">
        <f>H15+H31+H46+H56+H69+H84+H105+H120+H152+H136+H163+H181+H198+H218+H223+H238+H252</f>
        <v>147518</v>
      </c>
      <c r="I14" s="557">
        <f>I15+I31+I46+I56+I69+I84+I105+I120+I152+I136+I163+I181+I198+I218+I223+I238+I252</f>
        <v>7375.9999999999982</v>
      </c>
      <c r="J14" s="475">
        <f t="shared" ref="J14:AI14" si="7">J15+J31+J46+J56+J69+J84+J105+J120+J152+J136+J163+J181+J198+J218+J223+J238+J252</f>
        <v>0</v>
      </c>
      <c r="K14" s="475">
        <f t="shared" si="7"/>
        <v>15409.399299999997</v>
      </c>
      <c r="L14" s="475">
        <f t="shared" si="7"/>
        <v>14745.370000000003</v>
      </c>
      <c r="M14" s="475">
        <f t="shared" si="7"/>
        <v>669.82929999999988</v>
      </c>
      <c r="N14" s="475">
        <f t="shared" si="7"/>
        <v>15415.199299999997</v>
      </c>
      <c r="O14" s="475">
        <f t="shared" si="7"/>
        <v>14745.369999999999</v>
      </c>
      <c r="P14" s="475">
        <f t="shared" si="7"/>
        <v>669.82929999999999</v>
      </c>
      <c r="Q14" s="475">
        <f t="shared" si="7"/>
        <v>154893.99999999997</v>
      </c>
      <c r="R14" s="475">
        <f t="shared" si="7"/>
        <v>147518</v>
      </c>
      <c r="S14" s="475">
        <f t="shared" si="7"/>
        <v>7375.9999999999982</v>
      </c>
      <c r="T14" s="475">
        <f t="shared" si="7"/>
        <v>0</v>
      </c>
      <c r="U14" s="474">
        <f t="shared" si="7"/>
        <v>103423.99999999999</v>
      </c>
      <c r="V14" s="474">
        <f t="shared" si="7"/>
        <v>98084.000000000015</v>
      </c>
      <c r="W14" s="474">
        <f t="shared" si="7"/>
        <v>5340</v>
      </c>
      <c r="X14" s="323">
        <f t="shared" si="7"/>
        <v>27882</v>
      </c>
      <c r="Y14" s="323">
        <f t="shared" si="7"/>
        <v>26553.999999999996</v>
      </c>
      <c r="Z14" s="323">
        <f t="shared" si="7"/>
        <v>1328</v>
      </c>
      <c r="AA14" s="323">
        <f t="shared" si="7"/>
        <v>37517</v>
      </c>
      <c r="AB14" s="479">
        <f t="shared" si="7"/>
        <v>35595</v>
      </c>
      <c r="AC14" s="479">
        <f t="shared" si="7"/>
        <v>1922</v>
      </c>
      <c r="AD14" s="323">
        <f t="shared" si="7"/>
        <v>36402.1</v>
      </c>
      <c r="AE14" s="479">
        <f t="shared" si="7"/>
        <v>34401.299999999996</v>
      </c>
      <c r="AF14" s="479">
        <f t="shared" si="7"/>
        <v>2000.7999999999997</v>
      </c>
      <c r="AG14" s="323">
        <f t="shared" si="7"/>
        <v>51468.255899999996</v>
      </c>
      <c r="AH14" s="479">
        <f t="shared" si="7"/>
        <v>49433.95</v>
      </c>
      <c r="AI14" s="479">
        <f t="shared" si="7"/>
        <v>2034.3059000000001</v>
      </c>
      <c r="AJ14" s="323"/>
      <c r="AK14" s="323">
        <f>AK15+AK31+AK46+AK56+AK69+AK84+AK105+AK120+AK152+AK136+AK163+AK181+AK198+AK218+AK223+AK238+AK252</f>
        <v>190</v>
      </c>
      <c r="AL14" s="12"/>
      <c r="AM14" s="367"/>
      <c r="AN14" s="367"/>
      <c r="AO14" s="367"/>
      <c r="AP14" s="13"/>
      <c r="AQ14" s="13"/>
      <c r="AR14" s="13"/>
    </row>
    <row r="15" spans="1:44" s="14" customFormat="1" ht="23.25" customHeight="1">
      <c r="A15" s="4" t="s">
        <v>987</v>
      </c>
      <c r="B15" s="507" t="s">
        <v>61</v>
      </c>
      <c r="C15" s="16"/>
      <c r="D15" s="16"/>
      <c r="E15" s="16"/>
      <c r="F15" s="16"/>
      <c r="G15" s="472">
        <f t="shared" ref="G15:T15" si="8">SUM(G16:G30)</f>
        <v>4512.96</v>
      </c>
      <c r="H15" s="472">
        <f t="shared" si="8"/>
        <v>4298</v>
      </c>
      <c r="I15" s="472">
        <f t="shared" si="8"/>
        <v>214.96000000000004</v>
      </c>
      <c r="J15" s="472">
        <f t="shared" si="8"/>
        <v>0</v>
      </c>
      <c r="K15" s="527">
        <f t="shared" si="8"/>
        <v>678.44690000000003</v>
      </c>
      <c r="L15" s="528">
        <f t="shared" si="8"/>
        <v>657.27689999999996</v>
      </c>
      <c r="M15" s="528">
        <f t="shared" si="8"/>
        <v>21.169999999999995</v>
      </c>
      <c r="N15" s="527">
        <f t="shared" si="8"/>
        <v>678.44689999999991</v>
      </c>
      <c r="O15" s="528">
        <f t="shared" si="8"/>
        <v>657.27689999999996</v>
      </c>
      <c r="P15" s="528">
        <f t="shared" si="8"/>
        <v>21.17</v>
      </c>
      <c r="Q15" s="540">
        <f t="shared" si="8"/>
        <v>4512.96</v>
      </c>
      <c r="R15" s="472">
        <f t="shared" si="8"/>
        <v>4298.0000000000009</v>
      </c>
      <c r="S15" s="472">
        <f t="shared" si="8"/>
        <v>214.96000000000006</v>
      </c>
      <c r="T15" s="472">
        <f t="shared" si="8"/>
        <v>0</v>
      </c>
      <c r="U15" s="446">
        <f>SUM(U16:U28)</f>
        <v>2970.8230999999996</v>
      </c>
      <c r="V15" s="446">
        <f>SUM(V16:V28)</f>
        <v>2815.2231000000002</v>
      </c>
      <c r="W15" s="446">
        <f>SUM(W16:W28)</f>
        <v>155.60000000000002</v>
      </c>
      <c r="X15" s="446">
        <f>SUM(X16:X30)</f>
        <v>812.29</v>
      </c>
      <c r="Y15" s="446">
        <f t="shared" ref="Y15:AF15" si="9">SUM(Y16:Y28)</f>
        <v>773.6</v>
      </c>
      <c r="Z15" s="446">
        <f t="shared" si="9"/>
        <v>38.69</v>
      </c>
      <c r="AA15" s="446">
        <f t="shared" si="9"/>
        <v>1050.9331000000002</v>
      </c>
      <c r="AB15" s="482">
        <f t="shared" si="9"/>
        <v>994.92309999999998</v>
      </c>
      <c r="AC15" s="482">
        <f t="shared" si="9"/>
        <v>56.010000000000005</v>
      </c>
      <c r="AD15" s="446">
        <f t="shared" si="9"/>
        <v>1107.5999999999999</v>
      </c>
      <c r="AE15" s="482">
        <f t="shared" si="9"/>
        <v>1046.6999999999998</v>
      </c>
      <c r="AF15" s="482">
        <f t="shared" si="9"/>
        <v>60.900000000000006</v>
      </c>
      <c r="AG15" s="472">
        <f>SUM(AG16:AG30)</f>
        <v>1542.1369</v>
      </c>
      <c r="AH15" s="492">
        <f>SUM(AH16:AH30)</f>
        <v>1482.7769000000001</v>
      </c>
      <c r="AI15" s="492">
        <f>SUM(AI16:AI30)</f>
        <v>59.36</v>
      </c>
      <c r="AJ15" s="446"/>
      <c r="AK15" s="446">
        <f>SUM(AK16:AK28)</f>
        <v>0</v>
      </c>
      <c r="AL15" s="322"/>
      <c r="AM15" s="368">
        <f>+'NĂM 2022'!K21+'NĂM 2023'!N22+'NĂM 2024'!J22+'NĂM 2025'!J22</f>
        <v>4512.96</v>
      </c>
      <c r="AN15" s="368">
        <f>+'NĂM 2022'!L21+'NĂM 2023'!O22+'NĂM 2024'!K22+'NĂM 2025'!K22</f>
        <v>4298</v>
      </c>
      <c r="AO15" s="368">
        <f>+'NĂM 2022'!M21+'NĂM 2023'!P22+'NĂM 2024'!L22+'NĂM 2025'!L22</f>
        <v>214.96</v>
      </c>
    </row>
    <row r="16" spans="1:44" s="146" customFormat="1" ht="60" hidden="1">
      <c r="A16" s="141">
        <v>1</v>
      </c>
      <c r="B16" s="325" t="s">
        <v>62</v>
      </c>
      <c r="C16" s="141" t="s">
        <v>63</v>
      </c>
      <c r="D16" s="141"/>
      <c r="E16" s="141" t="s">
        <v>64</v>
      </c>
      <c r="F16" s="141" t="s">
        <v>52</v>
      </c>
      <c r="G16" s="447">
        <f>H16+I16</f>
        <v>270.79999999999995</v>
      </c>
      <c r="H16" s="447">
        <v>257.89999999999998</v>
      </c>
      <c r="I16" s="473">
        <v>12.9</v>
      </c>
      <c r="J16" s="448"/>
      <c r="K16" s="529">
        <f>+Q16-G16</f>
        <v>0</v>
      </c>
      <c r="L16" s="530"/>
      <c r="M16" s="530"/>
      <c r="N16" s="529">
        <f>+Q16-G16</f>
        <v>0</v>
      </c>
      <c r="O16" s="530"/>
      <c r="P16" s="530"/>
      <c r="Q16" s="466">
        <f>+R16+S16</f>
        <v>270.79999999999995</v>
      </c>
      <c r="R16" s="448">
        <v>257.89999999999998</v>
      </c>
      <c r="S16" s="448">
        <v>12.9</v>
      </c>
      <c r="T16" s="448"/>
      <c r="U16" s="466">
        <f>+X16</f>
        <v>270.79999999999995</v>
      </c>
      <c r="V16" s="448">
        <f t="shared" ref="V16:W18" si="10">+Y16</f>
        <v>257.89999999999998</v>
      </c>
      <c r="W16" s="448">
        <f t="shared" si="10"/>
        <v>12.9</v>
      </c>
      <c r="X16" s="445">
        <f t="shared" ref="X16:X88" si="11">Y16+Z16</f>
        <v>270.79999999999995</v>
      </c>
      <c r="Y16" s="447">
        <v>257.89999999999998</v>
      </c>
      <c r="Z16" s="447">
        <v>12.9</v>
      </c>
      <c r="AA16" s="447"/>
      <c r="AB16" s="481"/>
      <c r="AC16" s="481"/>
      <c r="AD16" s="447"/>
      <c r="AE16" s="481"/>
      <c r="AF16" s="481"/>
      <c r="AG16" s="447"/>
      <c r="AH16" s="481"/>
      <c r="AI16" s="481"/>
      <c r="AJ16" s="447"/>
      <c r="AK16" s="448"/>
      <c r="AL16" s="145"/>
      <c r="AM16" s="471">
        <f>+G15-U15</f>
        <v>1542.1369000000004</v>
      </c>
      <c r="AN16" s="471">
        <f>+H15-V15</f>
        <v>1482.7768999999998</v>
      </c>
      <c r="AO16" s="471">
        <f>+I15-W15</f>
        <v>59.360000000000014</v>
      </c>
    </row>
    <row r="17" spans="1:41" s="146" customFormat="1" ht="45" hidden="1">
      <c r="A17" s="141">
        <f>+A16+1</f>
        <v>2</v>
      </c>
      <c r="B17" s="325" t="s">
        <v>65</v>
      </c>
      <c r="C17" s="141" t="s">
        <v>66</v>
      </c>
      <c r="D17" s="141"/>
      <c r="E17" s="141" t="s">
        <v>67</v>
      </c>
      <c r="F17" s="141" t="s">
        <v>52</v>
      </c>
      <c r="G17" s="447">
        <f>H17+I17</f>
        <v>270.74</v>
      </c>
      <c r="H17" s="447">
        <v>257.85000000000002</v>
      </c>
      <c r="I17" s="473">
        <v>12.89</v>
      </c>
      <c r="J17" s="448"/>
      <c r="K17" s="529">
        <f t="shared" ref="K17:K18" si="12">+Q17-G17</f>
        <v>0</v>
      </c>
      <c r="L17" s="530"/>
      <c r="M17" s="530"/>
      <c r="N17" s="529">
        <f t="shared" ref="N17:N18" si="13">+Q17-G17</f>
        <v>0</v>
      </c>
      <c r="O17" s="530"/>
      <c r="P17" s="530"/>
      <c r="Q17" s="466">
        <f t="shared" ref="Q17:Q30" si="14">+R17+S17</f>
        <v>270.74</v>
      </c>
      <c r="R17" s="448">
        <v>257.85000000000002</v>
      </c>
      <c r="S17" s="448">
        <v>12.89</v>
      </c>
      <c r="T17" s="448"/>
      <c r="U17" s="466">
        <f t="shared" ref="U17:U18" si="15">+X17</f>
        <v>270.74</v>
      </c>
      <c r="V17" s="448">
        <f t="shared" si="10"/>
        <v>257.85000000000002</v>
      </c>
      <c r="W17" s="448">
        <f t="shared" si="10"/>
        <v>12.89</v>
      </c>
      <c r="X17" s="445">
        <f t="shared" si="11"/>
        <v>270.74</v>
      </c>
      <c r="Y17" s="447">
        <v>257.85000000000002</v>
      </c>
      <c r="Z17" s="447">
        <v>12.89</v>
      </c>
      <c r="AA17" s="447"/>
      <c r="AB17" s="481"/>
      <c r="AC17" s="481"/>
      <c r="AD17" s="447"/>
      <c r="AE17" s="481"/>
      <c r="AF17" s="481"/>
      <c r="AG17" s="447"/>
      <c r="AH17" s="481"/>
      <c r="AI17" s="481"/>
      <c r="AJ17" s="447"/>
      <c r="AK17" s="448"/>
      <c r="AL17" s="145"/>
      <c r="AM17" s="471">
        <f>+AM16-AG15</f>
        <v>0</v>
      </c>
      <c r="AN17" s="471">
        <f t="shared" ref="AN17:AO17" si="16">+AN16-AH15</f>
        <v>0</v>
      </c>
      <c r="AO17" s="471">
        <f t="shared" si="16"/>
        <v>0</v>
      </c>
    </row>
    <row r="18" spans="1:41" s="146" customFormat="1" ht="75" hidden="1">
      <c r="A18" s="141">
        <f t="shared" ref="A18:A30" si="17">+A17+1</f>
        <v>3</v>
      </c>
      <c r="B18" s="325" t="s">
        <v>68</v>
      </c>
      <c r="C18" s="141" t="s">
        <v>69</v>
      </c>
      <c r="D18" s="141"/>
      <c r="E18" s="141" t="s">
        <v>70</v>
      </c>
      <c r="F18" s="141" t="s">
        <v>52</v>
      </c>
      <c r="G18" s="447">
        <f>H18+I18</f>
        <v>270.75</v>
      </c>
      <c r="H18" s="447">
        <v>257.85000000000002</v>
      </c>
      <c r="I18" s="473">
        <v>12.9</v>
      </c>
      <c r="J18" s="448"/>
      <c r="K18" s="529">
        <f t="shared" si="12"/>
        <v>0</v>
      </c>
      <c r="L18" s="530"/>
      <c r="M18" s="530"/>
      <c r="N18" s="529">
        <f t="shared" si="13"/>
        <v>0</v>
      </c>
      <c r="O18" s="530"/>
      <c r="P18" s="530"/>
      <c r="Q18" s="466">
        <f t="shared" si="14"/>
        <v>270.75</v>
      </c>
      <c r="R18" s="448">
        <v>257.85000000000002</v>
      </c>
      <c r="S18" s="448">
        <v>12.9</v>
      </c>
      <c r="T18" s="448"/>
      <c r="U18" s="466">
        <f t="shared" si="15"/>
        <v>270.75</v>
      </c>
      <c r="V18" s="448">
        <f t="shared" si="10"/>
        <v>257.85000000000002</v>
      </c>
      <c r="W18" s="448">
        <f t="shared" si="10"/>
        <v>12.9</v>
      </c>
      <c r="X18" s="445">
        <f t="shared" si="11"/>
        <v>270.75</v>
      </c>
      <c r="Y18" s="447">
        <v>257.85000000000002</v>
      </c>
      <c r="Z18" s="447">
        <v>12.9</v>
      </c>
      <c r="AA18" s="447"/>
      <c r="AB18" s="481"/>
      <c r="AC18" s="481"/>
      <c r="AD18" s="447"/>
      <c r="AE18" s="481"/>
      <c r="AF18" s="481"/>
      <c r="AG18" s="447"/>
      <c r="AH18" s="481"/>
      <c r="AI18" s="481"/>
      <c r="AJ18" s="447"/>
      <c r="AK18" s="448"/>
      <c r="AL18" s="145"/>
      <c r="AM18" s="369"/>
      <c r="AN18" s="369"/>
      <c r="AO18" s="369"/>
    </row>
    <row r="19" spans="1:41" s="146" customFormat="1" ht="60" hidden="1">
      <c r="A19" s="141">
        <f t="shared" si="17"/>
        <v>4</v>
      </c>
      <c r="B19" s="325" t="s">
        <v>71</v>
      </c>
      <c r="C19" s="141" t="s">
        <v>63</v>
      </c>
      <c r="D19" s="141"/>
      <c r="E19" s="141" t="s">
        <v>72</v>
      </c>
      <c r="F19" s="141" t="s">
        <v>53</v>
      </c>
      <c r="G19" s="447">
        <f t="shared" ref="G19:G88" si="18">H19+I19</f>
        <v>525.04999999999995</v>
      </c>
      <c r="H19" s="447">
        <v>500</v>
      </c>
      <c r="I19" s="473">
        <v>25.05</v>
      </c>
      <c r="J19" s="448"/>
      <c r="K19" s="529">
        <f>+L19+M19</f>
        <v>161.84699999999998</v>
      </c>
      <c r="L19" s="530">
        <f>+H19-R19</f>
        <v>155.46699999999998</v>
      </c>
      <c r="M19" s="530">
        <f>+I19-S19</f>
        <v>6.379999999999999</v>
      </c>
      <c r="N19" s="529"/>
      <c r="O19" s="530"/>
      <c r="P19" s="530"/>
      <c r="Q19" s="466">
        <f t="shared" si="14"/>
        <v>363.20300000000003</v>
      </c>
      <c r="R19" s="448">
        <v>344.53300000000002</v>
      </c>
      <c r="S19" s="448">
        <v>18.670000000000002</v>
      </c>
      <c r="T19" s="533"/>
      <c r="U19" s="448">
        <f>+AA19+AD19</f>
        <v>363.20300000000003</v>
      </c>
      <c r="V19" s="448">
        <f t="shared" ref="V19:W28" si="19">+AB19+AE19</f>
        <v>344.53300000000002</v>
      </c>
      <c r="W19" s="448">
        <f t="shared" si="19"/>
        <v>18.670000000000002</v>
      </c>
      <c r="X19" s="445">
        <f t="shared" si="11"/>
        <v>0</v>
      </c>
      <c r="Y19" s="448"/>
      <c r="Z19" s="448"/>
      <c r="AA19" s="448">
        <f>+AB19+AC19</f>
        <v>363.20300000000003</v>
      </c>
      <c r="AB19" s="483">
        <f>345.67-1.137</f>
        <v>344.53300000000002</v>
      </c>
      <c r="AC19" s="483">
        <v>18.670000000000002</v>
      </c>
      <c r="AD19" s="448"/>
      <c r="AE19" s="483"/>
      <c r="AF19" s="483"/>
      <c r="AG19" s="448"/>
      <c r="AH19" s="483"/>
      <c r="AI19" s="483"/>
      <c r="AJ19" s="448"/>
      <c r="AK19" s="448"/>
      <c r="AL19" s="145"/>
      <c r="AM19" s="369"/>
      <c r="AN19" s="369"/>
      <c r="AO19" s="369"/>
    </row>
    <row r="20" spans="1:41" s="146" customFormat="1" ht="45" hidden="1">
      <c r="A20" s="141">
        <f t="shared" si="17"/>
        <v>5</v>
      </c>
      <c r="B20" s="325" t="s">
        <v>65</v>
      </c>
      <c r="C20" s="141" t="s">
        <v>66</v>
      </c>
      <c r="D20" s="141"/>
      <c r="E20" s="141" t="s">
        <v>73</v>
      </c>
      <c r="F20" s="141" t="s">
        <v>53</v>
      </c>
      <c r="G20" s="447">
        <f t="shared" si="18"/>
        <v>472.5</v>
      </c>
      <c r="H20" s="447">
        <v>450</v>
      </c>
      <c r="I20" s="473">
        <v>22.5</v>
      </c>
      <c r="J20" s="448"/>
      <c r="K20" s="529">
        <f t="shared" ref="K20:K23" si="20">+L20+M20</f>
        <v>149.11989999999997</v>
      </c>
      <c r="L20" s="530">
        <f t="shared" ref="L20:M23" si="21">+H20-R20</f>
        <v>145.28989999999999</v>
      </c>
      <c r="M20" s="530">
        <f t="shared" si="21"/>
        <v>3.8299999999999983</v>
      </c>
      <c r="N20" s="529"/>
      <c r="O20" s="530"/>
      <c r="P20" s="530"/>
      <c r="Q20" s="466">
        <f t="shared" si="14"/>
        <v>323.38010000000003</v>
      </c>
      <c r="R20" s="448">
        <v>304.71010000000001</v>
      </c>
      <c r="S20" s="448">
        <v>18.670000000000002</v>
      </c>
      <c r="T20" s="533"/>
      <c r="U20" s="448">
        <f t="shared" ref="U20:U28" si="22">+AA20+AD20</f>
        <v>323.38010000000003</v>
      </c>
      <c r="V20" s="448">
        <f t="shared" si="19"/>
        <v>304.71010000000001</v>
      </c>
      <c r="W20" s="448">
        <f t="shared" si="19"/>
        <v>18.670000000000002</v>
      </c>
      <c r="X20" s="445">
        <f t="shared" si="11"/>
        <v>0</v>
      </c>
      <c r="Y20" s="448"/>
      <c r="Z20" s="448"/>
      <c r="AA20" s="448">
        <f>+AB20+AC20</f>
        <v>323.38010000000003</v>
      </c>
      <c r="AB20" s="483">
        <f>345.68-40.9699</f>
        <v>304.71010000000001</v>
      </c>
      <c r="AC20" s="483">
        <v>18.670000000000002</v>
      </c>
      <c r="AD20" s="448"/>
      <c r="AE20" s="483"/>
      <c r="AF20" s="483"/>
      <c r="AG20" s="448"/>
      <c r="AH20" s="483"/>
      <c r="AI20" s="483"/>
      <c r="AJ20" s="448"/>
      <c r="AK20" s="448"/>
      <c r="AL20" s="145"/>
      <c r="AM20" s="369"/>
      <c r="AN20" s="369"/>
      <c r="AO20" s="369"/>
    </row>
    <row r="21" spans="1:41" s="146" customFormat="1" ht="75" hidden="1">
      <c r="A21" s="141">
        <f t="shared" si="17"/>
        <v>6</v>
      </c>
      <c r="B21" s="325" t="s">
        <v>74</v>
      </c>
      <c r="C21" s="141" t="s">
        <v>69</v>
      </c>
      <c r="D21" s="141"/>
      <c r="E21" s="141" t="s">
        <v>75</v>
      </c>
      <c r="F21" s="141" t="s">
        <v>53</v>
      </c>
      <c r="G21" s="447">
        <f t="shared" si="18"/>
        <v>525</v>
      </c>
      <c r="H21" s="447">
        <v>500</v>
      </c>
      <c r="I21" s="473">
        <v>25</v>
      </c>
      <c r="J21" s="448"/>
      <c r="K21" s="529">
        <f t="shared" si="20"/>
        <v>160.64999999999998</v>
      </c>
      <c r="L21" s="530">
        <f t="shared" si="21"/>
        <v>154.32</v>
      </c>
      <c r="M21" s="530">
        <f t="shared" si="21"/>
        <v>6.3299999999999983</v>
      </c>
      <c r="N21" s="529"/>
      <c r="O21" s="530"/>
      <c r="P21" s="530"/>
      <c r="Q21" s="466">
        <f t="shared" si="14"/>
        <v>364.35</v>
      </c>
      <c r="R21" s="448">
        <v>345.68</v>
      </c>
      <c r="S21" s="448">
        <v>18.670000000000002</v>
      </c>
      <c r="T21" s="533"/>
      <c r="U21" s="448">
        <f t="shared" si="22"/>
        <v>364.35</v>
      </c>
      <c r="V21" s="448">
        <f t="shared" si="19"/>
        <v>345.68</v>
      </c>
      <c r="W21" s="448">
        <f t="shared" si="19"/>
        <v>18.670000000000002</v>
      </c>
      <c r="X21" s="445">
        <f t="shared" si="11"/>
        <v>0</v>
      </c>
      <c r="Y21" s="448"/>
      <c r="Z21" s="448"/>
      <c r="AA21" s="448">
        <f>+AB21+AC21</f>
        <v>364.35</v>
      </c>
      <c r="AB21" s="483">
        <v>345.68</v>
      </c>
      <c r="AC21" s="483">
        <v>18.670000000000002</v>
      </c>
      <c r="AD21" s="448"/>
      <c r="AE21" s="483"/>
      <c r="AF21" s="483"/>
      <c r="AG21" s="448"/>
      <c r="AH21" s="483"/>
      <c r="AI21" s="483"/>
      <c r="AJ21" s="448"/>
      <c r="AK21" s="448"/>
      <c r="AL21" s="145"/>
      <c r="AM21" s="369"/>
      <c r="AN21" s="369"/>
      <c r="AO21" s="369"/>
    </row>
    <row r="22" spans="1:41" s="146" customFormat="1" ht="45" hidden="1">
      <c r="A22" s="141">
        <f t="shared" si="17"/>
        <v>7</v>
      </c>
      <c r="B22" s="325" t="s">
        <v>76</v>
      </c>
      <c r="C22" s="141" t="s">
        <v>63</v>
      </c>
      <c r="D22" s="141"/>
      <c r="E22" s="150" t="s">
        <v>77</v>
      </c>
      <c r="F22" s="141" t="s">
        <v>78</v>
      </c>
      <c r="G22" s="447">
        <f t="shared" si="18"/>
        <v>472.5</v>
      </c>
      <c r="H22" s="447">
        <v>450</v>
      </c>
      <c r="I22" s="473">
        <v>22.5</v>
      </c>
      <c r="J22" s="448"/>
      <c r="K22" s="529">
        <f t="shared" si="20"/>
        <v>103.30000000000003</v>
      </c>
      <c r="L22" s="530">
        <f t="shared" si="21"/>
        <v>101.10000000000002</v>
      </c>
      <c r="M22" s="530">
        <f t="shared" si="21"/>
        <v>2.1999999999999993</v>
      </c>
      <c r="N22" s="529"/>
      <c r="O22" s="530"/>
      <c r="P22" s="530"/>
      <c r="Q22" s="466">
        <f t="shared" si="14"/>
        <v>369.2</v>
      </c>
      <c r="R22" s="448">
        <v>348.9</v>
      </c>
      <c r="S22" s="448">
        <v>20.3</v>
      </c>
      <c r="T22" s="533"/>
      <c r="U22" s="448">
        <f t="shared" si="22"/>
        <v>369.2</v>
      </c>
      <c r="V22" s="448">
        <f t="shared" si="19"/>
        <v>348.9</v>
      </c>
      <c r="W22" s="448">
        <f t="shared" si="19"/>
        <v>20.3</v>
      </c>
      <c r="X22" s="445">
        <f t="shared" si="11"/>
        <v>0</v>
      </c>
      <c r="Y22" s="448"/>
      <c r="Z22" s="448"/>
      <c r="AA22" s="448"/>
      <c r="AB22" s="483"/>
      <c r="AC22" s="483"/>
      <c r="AD22" s="448">
        <f>+AE22+AF22</f>
        <v>369.2</v>
      </c>
      <c r="AE22" s="483">
        <v>348.9</v>
      </c>
      <c r="AF22" s="483">
        <v>20.3</v>
      </c>
      <c r="AG22" s="448"/>
      <c r="AH22" s="483"/>
      <c r="AI22" s="483"/>
      <c r="AJ22" s="448"/>
      <c r="AK22" s="448"/>
      <c r="AL22" s="145"/>
      <c r="AM22" s="369"/>
      <c r="AN22" s="369"/>
      <c r="AO22" s="369"/>
    </row>
    <row r="23" spans="1:41" s="146" customFormat="1" ht="75" hidden="1">
      <c r="A23" s="141">
        <f t="shared" si="17"/>
        <v>8</v>
      </c>
      <c r="B23" s="325" t="s">
        <v>79</v>
      </c>
      <c r="C23" s="141" t="s">
        <v>66</v>
      </c>
      <c r="D23" s="141"/>
      <c r="E23" s="141" t="s">
        <v>80</v>
      </c>
      <c r="F23" s="141" t="s">
        <v>54</v>
      </c>
      <c r="G23" s="447">
        <f t="shared" si="18"/>
        <v>472.5</v>
      </c>
      <c r="H23" s="447">
        <v>450</v>
      </c>
      <c r="I23" s="473">
        <v>22.5</v>
      </c>
      <c r="J23" s="448">
        <v>0</v>
      </c>
      <c r="K23" s="529">
        <f t="shared" si="20"/>
        <v>103.30000000000003</v>
      </c>
      <c r="L23" s="530">
        <f t="shared" si="21"/>
        <v>101.10000000000002</v>
      </c>
      <c r="M23" s="530">
        <f t="shared" si="21"/>
        <v>2.1999999999999993</v>
      </c>
      <c r="N23" s="529"/>
      <c r="O23" s="530"/>
      <c r="P23" s="530"/>
      <c r="Q23" s="466">
        <f t="shared" si="14"/>
        <v>369.2</v>
      </c>
      <c r="R23" s="448">
        <v>348.9</v>
      </c>
      <c r="S23" s="448">
        <v>20.3</v>
      </c>
      <c r="T23" s="533"/>
      <c r="U23" s="448">
        <f t="shared" si="22"/>
        <v>369.2</v>
      </c>
      <c r="V23" s="448">
        <f t="shared" si="19"/>
        <v>348.9</v>
      </c>
      <c r="W23" s="448">
        <f t="shared" si="19"/>
        <v>20.3</v>
      </c>
      <c r="X23" s="445">
        <f t="shared" si="11"/>
        <v>0</v>
      </c>
      <c r="Y23" s="448"/>
      <c r="Z23" s="448"/>
      <c r="AA23" s="448"/>
      <c r="AB23" s="483"/>
      <c r="AC23" s="483"/>
      <c r="AD23" s="448">
        <f>+AE23+AF23</f>
        <v>369.2</v>
      </c>
      <c r="AE23" s="483">
        <v>348.9</v>
      </c>
      <c r="AF23" s="483">
        <v>20.3</v>
      </c>
      <c r="AG23" s="448"/>
      <c r="AH23" s="483"/>
      <c r="AI23" s="483"/>
      <c r="AJ23" s="448"/>
      <c r="AK23" s="448"/>
      <c r="AL23" s="145"/>
      <c r="AM23" s="369">
        <f>+G15-U15</f>
        <v>1542.1369000000004</v>
      </c>
      <c r="AN23" s="369"/>
      <c r="AO23" s="369"/>
    </row>
    <row r="24" spans="1:41" s="146" customFormat="1" ht="60" hidden="1">
      <c r="A24" s="141">
        <f t="shared" si="17"/>
        <v>9</v>
      </c>
      <c r="B24" s="325" t="s">
        <v>1104</v>
      </c>
      <c r="C24" s="141" t="s">
        <v>69</v>
      </c>
      <c r="D24" s="141"/>
      <c r="E24" s="141" t="s">
        <v>89</v>
      </c>
      <c r="F24" s="141" t="s">
        <v>55</v>
      </c>
      <c r="G24" s="447">
        <f>H24+I24</f>
        <v>288.54000000000002</v>
      </c>
      <c r="H24" s="447">
        <v>274.8</v>
      </c>
      <c r="I24" s="473">
        <v>13.74</v>
      </c>
      <c r="J24" s="448"/>
      <c r="K24" s="483"/>
      <c r="L24" s="448"/>
      <c r="M24" s="448"/>
      <c r="N24" s="529">
        <f>+O24+P24</f>
        <v>80.659999999999968</v>
      </c>
      <c r="O24" s="530">
        <f>+R24-H24</f>
        <v>74.099999999999966</v>
      </c>
      <c r="P24" s="530">
        <f>+S24-I24</f>
        <v>6.5600000000000005</v>
      </c>
      <c r="Q24" s="466">
        <f t="shared" si="14"/>
        <v>369.2</v>
      </c>
      <c r="R24" s="448">
        <v>348.9</v>
      </c>
      <c r="S24" s="448">
        <v>20.3</v>
      </c>
      <c r="T24" s="533"/>
      <c r="U24" s="448">
        <f>+AA24+AD24</f>
        <v>369.2</v>
      </c>
      <c r="V24" s="448">
        <f>+AB24+AE24</f>
        <v>348.9</v>
      </c>
      <c r="W24" s="448">
        <f>+AC24+AF24</f>
        <v>20.3</v>
      </c>
      <c r="X24" s="445">
        <f>Y24+Z24</f>
        <v>0</v>
      </c>
      <c r="Y24" s="448"/>
      <c r="Z24" s="448"/>
      <c r="AA24" s="448"/>
      <c r="AB24" s="483"/>
      <c r="AC24" s="483"/>
      <c r="AD24" s="448">
        <f>+AE24+AF24</f>
        <v>369.2</v>
      </c>
      <c r="AE24" s="483">
        <v>348.9</v>
      </c>
      <c r="AF24" s="483">
        <v>20.3</v>
      </c>
      <c r="AG24" s="448"/>
      <c r="AH24" s="483"/>
      <c r="AI24" s="483"/>
      <c r="AJ24" s="448"/>
      <c r="AK24" s="448"/>
      <c r="AL24" s="145"/>
      <c r="AM24" s="465">
        <f>+AG15-AM23</f>
        <v>0</v>
      </c>
      <c r="AN24" s="369"/>
      <c r="AO24" s="369"/>
    </row>
    <row r="25" spans="1:41" s="146" customFormat="1" ht="45" hidden="1">
      <c r="A25" s="141">
        <f t="shared" si="17"/>
        <v>10</v>
      </c>
      <c r="B25" s="325" t="s">
        <v>82</v>
      </c>
      <c r="C25" s="141" t="s">
        <v>63</v>
      </c>
      <c r="D25" s="141"/>
      <c r="E25" s="141" t="s">
        <v>83</v>
      </c>
      <c r="F25" s="141" t="s">
        <v>55</v>
      </c>
      <c r="G25" s="447">
        <f t="shared" si="18"/>
        <v>105</v>
      </c>
      <c r="H25" s="447">
        <v>100</v>
      </c>
      <c r="I25" s="473">
        <v>5</v>
      </c>
      <c r="J25" s="448"/>
      <c r="K25" s="483"/>
      <c r="L25" s="448"/>
      <c r="M25" s="448"/>
      <c r="N25" s="529">
        <f>+O25+P25</f>
        <v>1.1370000000000005</v>
      </c>
      <c r="O25" s="530">
        <f>+R25-H25</f>
        <v>1.1370000000000005</v>
      </c>
      <c r="P25" s="530"/>
      <c r="Q25" s="466">
        <f t="shared" si="14"/>
        <v>106.137</v>
      </c>
      <c r="R25" s="483">
        <f>100+1.137</f>
        <v>101.137</v>
      </c>
      <c r="S25" s="483">
        <v>5</v>
      </c>
      <c r="T25" s="533"/>
      <c r="U25" s="448">
        <f t="shared" si="22"/>
        <v>0</v>
      </c>
      <c r="V25" s="448">
        <f t="shared" si="19"/>
        <v>0</v>
      </c>
      <c r="W25" s="448">
        <f t="shared" si="19"/>
        <v>0</v>
      </c>
      <c r="X25" s="445">
        <f t="shared" si="11"/>
        <v>0</v>
      </c>
      <c r="Y25" s="448"/>
      <c r="Z25" s="448"/>
      <c r="AA25" s="448"/>
      <c r="AB25" s="483"/>
      <c r="AC25" s="483"/>
      <c r="AD25" s="448"/>
      <c r="AE25" s="483"/>
      <c r="AF25" s="483"/>
      <c r="AG25" s="448">
        <f t="shared" ref="AG25:AG30" si="23">+AH25+AI25</f>
        <v>106.137</v>
      </c>
      <c r="AH25" s="483">
        <f>100+1.137</f>
        <v>101.137</v>
      </c>
      <c r="AI25" s="483">
        <v>5</v>
      </c>
      <c r="AJ25" s="448"/>
      <c r="AK25" s="448"/>
      <c r="AL25" s="145"/>
      <c r="AM25" s="369"/>
      <c r="AN25" s="369"/>
      <c r="AO25" s="369"/>
    </row>
    <row r="26" spans="1:41" s="146" customFormat="1" ht="60" hidden="1">
      <c r="A26" s="141">
        <f t="shared" si="17"/>
        <v>11</v>
      </c>
      <c r="B26" s="325" t="s">
        <v>1163</v>
      </c>
      <c r="C26" s="141" t="s">
        <v>63</v>
      </c>
      <c r="D26" s="141"/>
      <c r="E26" s="141" t="s">
        <v>85</v>
      </c>
      <c r="F26" s="141" t="s">
        <v>55</v>
      </c>
      <c r="G26" s="447">
        <f t="shared" si="18"/>
        <v>131.04</v>
      </c>
      <c r="H26" s="447">
        <v>124.8</v>
      </c>
      <c r="I26" s="473">
        <v>6.24</v>
      </c>
      <c r="J26" s="448"/>
      <c r="K26" s="483"/>
      <c r="L26" s="448"/>
      <c r="M26" s="448"/>
      <c r="N26" s="529">
        <f>+O26+P26</f>
        <v>1.0000000000005116E-2</v>
      </c>
      <c r="O26" s="530">
        <f>+R26-H26</f>
        <v>1.0000000000005116E-2</v>
      </c>
      <c r="P26" s="530"/>
      <c r="Q26" s="466">
        <f t="shared" si="14"/>
        <v>131.05000000000001</v>
      </c>
      <c r="R26" s="483">
        <v>124.81</v>
      </c>
      <c r="S26" s="483">
        <v>6.24</v>
      </c>
      <c r="T26" s="533" t="s">
        <v>1165</v>
      </c>
      <c r="U26" s="448">
        <f t="shared" si="22"/>
        <v>0</v>
      </c>
      <c r="V26" s="448">
        <f t="shared" si="19"/>
        <v>0</v>
      </c>
      <c r="W26" s="448">
        <f t="shared" si="19"/>
        <v>0</v>
      </c>
      <c r="X26" s="445">
        <f t="shared" si="11"/>
        <v>0</v>
      </c>
      <c r="Y26" s="448"/>
      <c r="Z26" s="448"/>
      <c r="AA26" s="448"/>
      <c r="AB26" s="483"/>
      <c r="AC26" s="483"/>
      <c r="AD26" s="448"/>
      <c r="AE26" s="483"/>
      <c r="AF26" s="483"/>
      <c r="AG26" s="448">
        <f t="shared" si="23"/>
        <v>131.05000000000001</v>
      </c>
      <c r="AH26" s="483">
        <v>124.81</v>
      </c>
      <c r="AI26" s="483">
        <v>6.24</v>
      </c>
      <c r="AJ26" s="448"/>
      <c r="AK26" s="448"/>
      <c r="AL26" s="145"/>
      <c r="AM26" s="369"/>
      <c r="AN26" s="369"/>
      <c r="AO26" s="369"/>
    </row>
    <row r="27" spans="1:41" s="146" customFormat="1" ht="45" hidden="1">
      <c r="A27" s="141">
        <f t="shared" si="17"/>
        <v>12</v>
      </c>
      <c r="B27" s="325" t="s">
        <v>86</v>
      </c>
      <c r="C27" s="141" t="s">
        <v>66</v>
      </c>
      <c r="D27" s="141"/>
      <c r="E27" s="141" t="s">
        <v>87</v>
      </c>
      <c r="F27" s="141" t="s">
        <v>55</v>
      </c>
      <c r="G27" s="447">
        <f t="shared" si="18"/>
        <v>288.54000000000002</v>
      </c>
      <c r="H27" s="447">
        <v>274.8</v>
      </c>
      <c r="I27" s="473">
        <v>13.74</v>
      </c>
      <c r="J27" s="448">
        <v>0</v>
      </c>
      <c r="K27" s="483"/>
      <c r="L27" s="448"/>
      <c r="M27" s="448"/>
      <c r="N27" s="529"/>
      <c r="O27" s="530"/>
      <c r="P27" s="530"/>
      <c r="Q27" s="466">
        <f t="shared" si="14"/>
        <v>288.54000000000002</v>
      </c>
      <c r="R27" s="483">
        <v>274.8</v>
      </c>
      <c r="S27" s="483">
        <v>13.74</v>
      </c>
      <c r="T27" s="448"/>
      <c r="U27" s="448">
        <f t="shared" si="22"/>
        <v>0</v>
      </c>
      <c r="V27" s="448">
        <f t="shared" si="19"/>
        <v>0</v>
      </c>
      <c r="W27" s="448">
        <f t="shared" si="19"/>
        <v>0</v>
      </c>
      <c r="X27" s="445">
        <f t="shared" si="11"/>
        <v>0</v>
      </c>
      <c r="Y27" s="448"/>
      <c r="Z27" s="448"/>
      <c r="AA27" s="448"/>
      <c r="AB27" s="483"/>
      <c r="AC27" s="483"/>
      <c r="AD27" s="448"/>
      <c r="AE27" s="483"/>
      <c r="AF27" s="483"/>
      <c r="AG27" s="448">
        <f t="shared" si="23"/>
        <v>288.54000000000002</v>
      </c>
      <c r="AH27" s="483">
        <v>274.8</v>
      </c>
      <c r="AI27" s="483">
        <v>13.74</v>
      </c>
      <c r="AJ27" s="448"/>
      <c r="AK27" s="448"/>
      <c r="AL27" s="145"/>
      <c r="AM27" s="369"/>
      <c r="AN27" s="369"/>
      <c r="AO27" s="369"/>
    </row>
    <row r="28" spans="1:41" s="146" customFormat="1" ht="75" hidden="1">
      <c r="A28" s="141">
        <f t="shared" si="17"/>
        <v>13</v>
      </c>
      <c r="B28" s="325" t="s">
        <v>1164</v>
      </c>
      <c r="C28" s="141" t="s">
        <v>69</v>
      </c>
      <c r="D28" s="141"/>
      <c r="E28" s="141" t="s">
        <v>70</v>
      </c>
      <c r="F28" s="141" t="s">
        <v>55</v>
      </c>
      <c r="G28" s="447">
        <f t="shared" si="18"/>
        <v>420</v>
      </c>
      <c r="H28" s="447">
        <v>400</v>
      </c>
      <c r="I28" s="473">
        <v>20</v>
      </c>
      <c r="J28" s="448"/>
      <c r="K28" s="483">
        <f>+L28+M28</f>
        <v>0.23000000000000043</v>
      </c>
      <c r="L28" s="448"/>
      <c r="M28" s="448">
        <f>+I28-S28</f>
        <v>0.23000000000000043</v>
      </c>
      <c r="N28" s="529">
        <f>+O28+P28</f>
        <v>80.220000000000027</v>
      </c>
      <c r="O28" s="530">
        <f>+R28-H28</f>
        <v>80.220000000000027</v>
      </c>
      <c r="P28" s="530"/>
      <c r="Q28" s="466">
        <f t="shared" si="14"/>
        <v>499.99</v>
      </c>
      <c r="R28" s="483">
        <v>480.22</v>
      </c>
      <c r="S28" s="483">
        <v>19.77</v>
      </c>
      <c r="T28" s="533" t="s">
        <v>1167</v>
      </c>
      <c r="U28" s="448">
        <f t="shared" si="22"/>
        <v>0</v>
      </c>
      <c r="V28" s="448">
        <f t="shared" si="19"/>
        <v>0</v>
      </c>
      <c r="W28" s="448">
        <f t="shared" si="19"/>
        <v>0</v>
      </c>
      <c r="X28" s="445">
        <f t="shared" si="11"/>
        <v>0</v>
      </c>
      <c r="Y28" s="448"/>
      <c r="Z28" s="448"/>
      <c r="AA28" s="448"/>
      <c r="AB28" s="483"/>
      <c r="AC28" s="483"/>
      <c r="AD28" s="448"/>
      <c r="AE28" s="483"/>
      <c r="AF28" s="483"/>
      <c r="AG28" s="448">
        <f t="shared" si="23"/>
        <v>499.99</v>
      </c>
      <c r="AH28" s="483">
        <v>480.22</v>
      </c>
      <c r="AI28" s="483">
        <v>19.77</v>
      </c>
      <c r="AJ28" s="448"/>
      <c r="AK28" s="448"/>
      <c r="AL28" s="145"/>
      <c r="AM28" s="369"/>
      <c r="AN28" s="369"/>
      <c r="AO28" s="369"/>
    </row>
    <row r="29" spans="1:41" s="146" customFormat="1" ht="45" hidden="1">
      <c r="A29" s="141">
        <f t="shared" si="17"/>
        <v>14</v>
      </c>
      <c r="B29" s="467" t="s">
        <v>1108</v>
      </c>
      <c r="C29" s="148" t="s">
        <v>63</v>
      </c>
      <c r="D29" s="148"/>
      <c r="E29" s="148"/>
      <c r="F29" s="148" t="s">
        <v>55</v>
      </c>
      <c r="G29" s="468"/>
      <c r="H29" s="468"/>
      <c r="I29" s="468"/>
      <c r="J29" s="469"/>
      <c r="K29" s="484"/>
      <c r="L29" s="469"/>
      <c r="M29" s="469"/>
      <c r="N29" s="531">
        <f>+O29+P29</f>
        <v>264</v>
      </c>
      <c r="O29" s="532">
        <v>255.42</v>
      </c>
      <c r="P29" s="532">
        <v>8.58</v>
      </c>
      <c r="Q29" s="450">
        <f t="shared" si="14"/>
        <v>264</v>
      </c>
      <c r="R29" s="484">
        <v>255.42</v>
      </c>
      <c r="S29" s="484">
        <v>8.58</v>
      </c>
      <c r="T29" s="534" t="s">
        <v>1166</v>
      </c>
      <c r="U29" s="469"/>
      <c r="V29" s="469"/>
      <c r="W29" s="469"/>
      <c r="X29" s="505"/>
      <c r="Y29" s="469"/>
      <c r="Z29" s="469"/>
      <c r="AA29" s="469"/>
      <c r="AB29" s="484"/>
      <c r="AC29" s="484"/>
      <c r="AD29" s="469"/>
      <c r="AE29" s="484"/>
      <c r="AF29" s="484"/>
      <c r="AG29" s="469">
        <f t="shared" si="23"/>
        <v>264</v>
      </c>
      <c r="AH29" s="484">
        <v>255.42</v>
      </c>
      <c r="AI29" s="484">
        <v>8.58</v>
      </c>
      <c r="AJ29" s="469"/>
      <c r="AK29" s="469"/>
      <c r="AL29" s="470"/>
      <c r="AM29" s="369"/>
      <c r="AN29" s="369"/>
      <c r="AO29" s="369"/>
    </row>
    <row r="30" spans="1:41" s="146" customFormat="1" ht="50.25" hidden="1" customHeight="1">
      <c r="A30" s="141">
        <f t="shared" si="17"/>
        <v>15</v>
      </c>
      <c r="B30" s="467" t="s">
        <v>1109</v>
      </c>
      <c r="C30" s="148" t="s">
        <v>66</v>
      </c>
      <c r="D30" s="148"/>
      <c r="E30" s="148"/>
      <c r="F30" s="148" t="s">
        <v>55</v>
      </c>
      <c r="G30" s="468"/>
      <c r="H30" s="468"/>
      <c r="I30" s="468"/>
      <c r="J30" s="469"/>
      <c r="K30" s="484"/>
      <c r="L30" s="469"/>
      <c r="M30" s="469"/>
      <c r="N30" s="531">
        <f>+O30+P30</f>
        <v>252.41989999999998</v>
      </c>
      <c r="O30" s="532">
        <f>205.42+40.9699</f>
        <v>246.38989999999998</v>
      </c>
      <c r="P30" s="532">
        <v>6.03</v>
      </c>
      <c r="Q30" s="450">
        <f t="shared" si="14"/>
        <v>252.41989999999998</v>
      </c>
      <c r="R30" s="484">
        <f>205.42+40.9699</f>
        <v>246.38989999999998</v>
      </c>
      <c r="S30" s="484">
        <v>6.03</v>
      </c>
      <c r="T30" s="534" t="s">
        <v>1166</v>
      </c>
      <c r="U30" s="469"/>
      <c r="V30" s="469"/>
      <c r="W30" s="469"/>
      <c r="X30" s="505"/>
      <c r="Y30" s="469"/>
      <c r="Z30" s="469"/>
      <c r="AA30" s="469"/>
      <c r="AB30" s="484"/>
      <c r="AC30" s="484"/>
      <c r="AD30" s="469"/>
      <c r="AE30" s="484"/>
      <c r="AF30" s="484"/>
      <c r="AG30" s="469">
        <f t="shared" si="23"/>
        <v>252.41989999999998</v>
      </c>
      <c r="AH30" s="484">
        <f>205.42+40.9699</f>
        <v>246.38989999999998</v>
      </c>
      <c r="AI30" s="484">
        <v>6.03</v>
      </c>
      <c r="AJ30" s="469"/>
      <c r="AK30" s="469"/>
      <c r="AL30" s="470"/>
      <c r="AM30" s="369"/>
      <c r="AN30" s="369"/>
      <c r="AO30" s="369"/>
    </row>
    <row r="31" spans="1:41" s="14" customFormat="1" ht="23.25" customHeight="1">
      <c r="A31" s="4" t="s">
        <v>988</v>
      </c>
      <c r="B31" s="507" t="s">
        <v>91</v>
      </c>
      <c r="C31" s="4"/>
      <c r="D31" s="4"/>
      <c r="E31" s="417">
        <v>0</v>
      </c>
      <c r="F31" s="417"/>
      <c r="G31" s="446">
        <f>SUM(G32:G45)</f>
        <v>10104.68</v>
      </c>
      <c r="H31" s="446">
        <f>SUM(H32:H45)</f>
        <v>9623.51</v>
      </c>
      <c r="I31" s="446">
        <f t="shared" ref="I31:AK31" si="24">SUM(I32:I45)</f>
        <v>481.16999999999996</v>
      </c>
      <c r="J31" s="446">
        <f t="shared" si="24"/>
        <v>0</v>
      </c>
      <c r="K31" s="446">
        <f t="shared" si="24"/>
        <v>738.71</v>
      </c>
      <c r="L31" s="446">
        <f t="shared" si="24"/>
        <v>725.24</v>
      </c>
      <c r="M31" s="446">
        <f t="shared" si="24"/>
        <v>13.469999999999992</v>
      </c>
      <c r="N31" s="446">
        <f t="shared" si="24"/>
        <v>738.71</v>
      </c>
      <c r="O31" s="446">
        <f t="shared" si="24"/>
        <v>725.24</v>
      </c>
      <c r="P31" s="446">
        <f t="shared" si="24"/>
        <v>13.469999999999992</v>
      </c>
      <c r="Q31" s="541">
        <f t="shared" si="24"/>
        <v>10104.68</v>
      </c>
      <c r="R31" s="535">
        <f t="shared" si="24"/>
        <v>9623.51</v>
      </c>
      <c r="S31" s="535">
        <f t="shared" si="24"/>
        <v>481.16999999999996</v>
      </c>
      <c r="T31" s="446">
        <f t="shared" si="24"/>
        <v>0</v>
      </c>
      <c r="U31" s="446">
        <f t="shared" si="24"/>
        <v>6746.67</v>
      </c>
      <c r="V31" s="446">
        <f t="shared" si="24"/>
        <v>6398.2699999999995</v>
      </c>
      <c r="W31" s="446">
        <f t="shared" si="24"/>
        <v>348.4</v>
      </c>
      <c r="X31" s="446">
        <f t="shared" si="24"/>
        <v>1818.67</v>
      </c>
      <c r="Y31" s="446">
        <f t="shared" si="24"/>
        <v>1732.07</v>
      </c>
      <c r="Z31" s="446">
        <f t="shared" si="24"/>
        <v>86.6</v>
      </c>
      <c r="AA31" s="446">
        <f t="shared" si="24"/>
        <v>2447.4</v>
      </c>
      <c r="AB31" s="482">
        <f t="shared" si="24"/>
        <v>2322</v>
      </c>
      <c r="AC31" s="482">
        <f t="shared" si="24"/>
        <v>125.4</v>
      </c>
      <c r="AD31" s="446">
        <f t="shared" si="24"/>
        <v>2480.6000000000004</v>
      </c>
      <c r="AE31" s="482">
        <f t="shared" si="24"/>
        <v>2344.1999999999998</v>
      </c>
      <c r="AF31" s="482">
        <f t="shared" si="24"/>
        <v>136.39999999999998</v>
      </c>
      <c r="AG31" s="446">
        <f t="shared" si="24"/>
        <v>3358.01</v>
      </c>
      <c r="AH31" s="482">
        <f t="shared" si="24"/>
        <v>3225.24</v>
      </c>
      <c r="AI31" s="482">
        <f t="shared" si="24"/>
        <v>132.76999999999998</v>
      </c>
      <c r="AJ31" s="446"/>
      <c r="AK31" s="446">
        <f t="shared" si="24"/>
        <v>0</v>
      </c>
      <c r="AL31" s="16"/>
      <c r="AM31" s="368">
        <f>+'NĂM 2022'!K25+'NĂM 2023'!N26+'NĂM 2024'!J26+'NĂM 2025'!J27</f>
        <v>10104.68</v>
      </c>
      <c r="AN31" s="368">
        <f>+'NĂM 2022'!L25+'NĂM 2023'!O26+'NĂM 2024'!K26+'NĂM 2025'!K27</f>
        <v>9623.51</v>
      </c>
      <c r="AO31" s="368">
        <f>+'NĂM 2022'!M25+'NĂM 2023'!P26+'NĂM 2024'!L26+'NĂM 2025'!L27</f>
        <v>481.16999999999996</v>
      </c>
    </row>
    <row r="32" spans="1:41" s="146" customFormat="1" ht="75" hidden="1">
      <c r="A32" s="141">
        <v>1</v>
      </c>
      <c r="B32" s="325" t="s">
        <v>92</v>
      </c>
      <c r="C32" s="141" t="s">
        <v>93</v>
      </c>
      <c r="D32" s="141"/>
      <c r="E32" s="141" t="s">
        <v>94</v>
      </c>
      <c r="F32" s="141" t="s">
        <v>52</v>
      </c>
      <c r="G32" s="447">
        <f t="shared" si="18"/>
        <v>462</v>
      </c>
      <c r="H32" s="447">
        <v>440</v>
      </c>
      <c r="I32" s="447">
        <v>22</v>
      </c>
      <c r="J32" s="448">
        <v>0</v>
      </c>
      <c r="K32" s="483">
        <f>+Q32-G32</f>
        <v>0</v>
      </c>
      <c r="L32" s="448"/>
      <c r="M32" s="448"/>
      <c r="N32" s="483"/>
      <c r="O32" s="448"/>
      <c r="P32" s="448"/>
      <c r="Q32" s="466">
        <f>+R32+S32</f>
        <v>462</v>
      </c>
      <c r="R32" s="448">
        <v>440</v>
      </c>
      <c r="S32" s="448">
        <v>22</v>
      </c>
      <c r="T32" s="448"/>
      <c r="U32" s="448">
        <f>+X32+AA32+AD32</f>
        <v>462</v>
      </c>
      <c r="V32" s="448">
        <f t="shared" ref="V32:W45" si="25">+Y32+AB32+AE32</f>
        <v>440</v>
      </c>
      <c r="W32" s="448">
        <f t="shared" si="25"/>
        <v>22</v>
      </c>
      <c r="X32" s="445">
        <f t="shared" si="11"/>
        <v>462</v>
      </c>
      <c r="Y32" s="447">
        <v>440</v>
      </c>
      <c r="Z32" s="447">
        <v>22</v>
      </c>
      <c r="AA32" s="447"/>
      <c r="AB32" s="481"/>
      <c r="AC32" s="481"/>
      <c r="AD32" s="447"/>
      <c r="AE32" s="481"/>
      <c r="AF32" s="481"/>
      <c r="AG32" s="447"/>
      <c r="AH32" s="481"/>
      <c r="AI32" s="481"/>
      <c r="AJ32" s="447"/>
      <c r="AK32" s="448"/>
      <c r="AL32" s="145"/>
      <c r="AM32" s="465">
        <f>+G31-U31</f>
        <v>3358.01</v>
      </c>
      <c r="AN32" s="465">
        <f>+H31-V31</f>
        <v>3225.2400000000007</v>
      </c>
      <c r="AO32" s="465">
        <f>+I31-W31</f>
        <v>132.76999999999998</v>
      </c>
    </row>
    <row r="33" spans="1:41" s="146" customFormat="1" ht="75" hidden="1">
      <c r="A33" s="141">
        <v>2</v>
      </c>
      <c r="B33" s="325" t="s">
        <v>95</v>
      </c>
      <c r="C33" s="141" t="s">
        <v>96</v>
      </c>
      <c r="D33" s="141"/>
      <c r="E33" s="141" t="s">
        <v>94</v>
      </c>
      <c r="F33" s="141" t="s">
        <v>52</v>
      </c>
      <c r="G33" s="447">
        <f t="shared" si="18"/>
        <v>462</v>
      </c>
      <c r="H33" s="447">
        <v>440</v>
      </c>
      <c r="I33" s="447">
        <v>22</v>
      </c>
      <c r="J33" s="448">
        <v>0</v>
      </c>
      <c r="K33" s="483">
        <f t="shared" ref="K33:K45" si="26">+Q33-G33</f>
        <v>0</v>
      </c>
      <c r="L33" s="448"/>
      <c r="M33" s="448"/>
      <c r="N33" s="483"/>
      <c r="O33" s="448"/>
      <c r="P33" s="448"/>
      <c r="Q33" s="466">
        <f t="shared" ref="Q33:Q42" si="27">+R33+S33</f>
        <v>462</v>
      </c>
      <c r="R33" s="448">
        <v>440</v>
      </c>
      <c r="S33" s="448">
        <v>22</v>
      </c>
      <c r="T33" s="448"/>
      <c r="U33" s="448">
        <f t="shared" ref="U33:U45" si="28">+X33+AA33+AD33</f>
        <v>462</v>
      </c>
      <c r="V33" s="448">
        <f t="shared" si="25"/>
        <v>440</v>
      </c>
      <c r="W33" s="448">
        <f t="shared" si="25"/>
        <v>22</v>
      </c>
      <c r="X33" s="445">
        <f t="shared" si="11"/>
        <v>462</v>
      </c>
      <c r="Y33" s="447">
        <v>440</v>
      </c>
      <c r="Z33" s="447">
        <v>22</v>
      </c>
      <c r="AA33" s="447"/>
      <c r="AB33" s="481"/>
      <c r="AC33" s="481"/>
      <c r="AD33" s="447"/>
      <c r="AE33" s="481"/>
      <c r="AF33" s="481"/>
      <c r="AG33" s="447"/>
      <c r="AH33" s="481"/>
      <c r="AI33" s="481"/>
      <c r="AJ33" s="447"/>
      <c r="AK33" s="448"/>
      <c r="AL33" s="145"/>
      <c r="AM33" s="369">
        <f>+AG31-AM32</f>
        <v>0</v>
      </c>
      <c r="AN33" s="369">
        <f t="shared" ref="AN33:AO33" si="29">+AH31-AN32</f>
        <v>0</v>
      </c>
      <c r="AO33" s="369">
        <f t="shared" si="29"/>
        <v>0</v>
      </c>
    </row>
    <row r="34" spans="1:41" s="146" customFormat="1" ht="75" hidden="1">
      <c r="A34" s="141">
        <v>3</v>
      </c>
      <c r="B34" s="325" t="s">
        <v>97</v>
      </c>
      <c r="C34" s="141" t="s">
        <v>98</v>
      </c>
      <c r="D34" s="141"/>
      <c r="E34" s="141" t="s">
        <v>99</v>
      </c>
      <c r="F34" s="141" t="s">
        <v>52</v>
      </c>
      <c r="G34" s="447">
        <f t="shared" si="18"/>
        <v>630</v>
      </c>
      <c r="H34" s="447">
        <v>600</v>
      </c>
      <c r="I34" s="447">
        <v>30</v>
      </c>
      <c r="J34" s="448">
        <v>0</v>
      </c>
      <c r="K34" s="483">
        <f t="shared" si="26"/>
        <v>0</v>
      </c>
      <c r="L34" s="448"/>
      <c r="M34" s="448"/>
      <c r="N34" s="483"/>
      <c r="O34" s="448"/>
      <c r="P34" s="448"/>
      <c r="Q34" s="466">
        <f t="shared" si="27"/>
        <v>630</v>
      </c>
      <c r="R34" s="448">
        <v>600</v>
      </c>
      <c r="S34" s="448">
        <v>30</v>
      </c>
      <c r="T34" s="448"/>
      <c r="U34" s="448">
        <f t="shared" si="28"/>
        <v>630</v>
      </c>
      <c r="V34" s="448">
        <f t="shared" si="25"/>
        <v>600</v>
      </c>
      <c r="W34" s="448">
        <f t="shared" si="25"/>
        <v>30</v>
      </c>
      <c r="X34" s="445">
        <f t="shared" si="11"/>
        <v>630</v>
      </c>
      <c r="Y34" s="447">
        <v>600</v>
      </c>
      <c r="Z34" s="447">
        <v>30</v>
      </c>
      <c r="AA34" s="447"/>
      <c r="AB34" s="481"/>
      <c r="AC34" s="481"/>
      <c r="AD34" s="447"/>
      <c r="AE34" s="481"/>
      <c r="AF34" s="481"/>
      <c r="AG34" s="447"/>
      <c r="AH34" s="481"/>
      <c r="AI34" s="481"/>
      <c r="AJ34" s="447"/>
      <c r="AK34" s="448"/>
      <c r="AL34" s="145"/>
      <c r="AM34" s="369"/>
      <c r="AN34" s="369"/>
      <c r="AO34" s="369"/>
    </row>
    <row r="35" spans="1:41" s="146" customFormat="1" ht="45" hidden="1">
      <c r="A35" s="141">
        <v>4</v>
      </c>
      <c r="B35" s="325" t="s">
        <v>100</v>
      </c>
      <c r="C35" s="141" t="s">
        <v>93</v>
      </c>
      <c r="D35" s="141"/>
      <c r="E35" s="141" t="s">
        <v>101</v>
      </c>
      <c r="F35" s="141" t="s">
        <v>52</v>
      </c>
      <c r="G35" s="447">
        <f t="shared" si="18"/>
        <v>264.67</v>
      </c>
      <c r="H35" s="447">
        <v>252.07</v>
      </c>
      <c r="I35" s="447">
        <v>12.6</v>
      </c>
      <c r="J35" s="448">
        <v>0</v>
      </c>
      <c r="K35" s="483">
        <f t="shared" si="26"/>
        <v>0</v>
      </c>
      <c r="L35" s="448"/>
      <c r="M35" s="448"/>
      <c r="N35" s="483"/>
      <c r="O35" s="448"/>
      <c r="P35" s="448"/>
      <c r="Q35" s="466">
        <f t="shared" si="27"/>
        <v>264.67</v>
      </c>
      <c r="R35" s="448">
        <v>252.07</v>
      </c>
      <c r="S35" s="448">
        <v>12.6</v>
      </c>
      <c r="T35" s="448"/>
      <c r="U35" s="448">
        <f t="shared" si="28"/>
        <v>264.67</v>
      </c>
      <c r="V35" s="448">
        <f t="shared" si="25"/>
        <v>252.07</v>
      </c>
      <c r="W35" s="448">
        <f t="shared" si="25"/>
        <v>12.6</v>
      </c>
      <c r="X35" s="445">
        <f t="shared" si="11"/>
        <v>264.67</v>
      </c>
      <c r="Y35" s="447">
        <v>252.07</v>
      </c>
      <c r="Z35" s="447">
        <v>12.6</v>
      </c>
      <c r="AA35" s="447"/>
      <c r="AB35" s="481"/>
      <c r="AC35" s="481"/>
      <c r="AD35" s="447"/>
      <c r="AE35" s="481"/>
      <c r="AF35" s="481"/>
      <c r="AG35" s="447"/>
      <c r="AH35" s="481"/>
      <c r="AI35" s="481"/>
      <c r="AJ35" s="447"/>
      <c r="AK35" s="448"/>
      <c r="AL35" s="145"/>
      <c r="AM35" s="369"/>
      <c r="AN35" s="369"/>
      <c r="AO35" s="369"/>
    </row>
    <row r="36" spans="1:41" s="146" customFormat="1" ht="75" hidden="1">
      <c r="A36" s="141">
        <v>5</v>
      </c>
      <c r="B36" s="325" t="s">
        <v>102</v>
      </c>
      <c r="C36" s="134" t="s">
        <v>115</v>
      </c>
      <c r="D36" s="141"/>
      <c r="E36" s="141" t="s">
        <v>94</v>
      </c>
      <c r="F36" s="141" t="s">
        <v>53</v>
      </c>
      <c r="G36" s="447">
        <f t="shared" si="18"/>
        <v>462</v>
      </c>
      <c r="H36" s="447">
        <v>440</v>
      </c>
      <c r="I36" s="447">
        <v>22</v>
      </c>
      <c r="J36" s="448">
        <v>0</v>
      </c>
      <c r="K36" s="483">
        <f t="shared" si="26"/>
        <v>0</v>
      </c>
      <c r="L36" s="448"/>
      <c r="M36" s="448"/>
      <c r="N36" s="483"/>
      <c r="O36" s="448"/>
      <c r="P36" s="448"/>
      <c r="Q36" s="466">
        <f t="shared" si="27"/>
        <v>462</v>
      </c>
      <c r="R36" s="448">
        <v>440</v>
      </c>
      <c r="S36" s="448">
        <v>22</v>
      </c>
      <c r="T36" s="448"/>
      <c r="U36" s="448">
        <f t="shared" si="28"/>
        <v>462</v>
      </c>
      <c r="V36" s="448">
        <f t="shared" si="25"/>
        <v>440</v>
      </c>
      <c r="W36" s="448">
        <f t="shared" si="25"/>
        <v>22</v>
      </c>
      <c r="X36" s="445">
        <f t="shared" si="11"/>
        <v>0</v>
      </c>
      <c r="Y36" s="448"/>
      <c r="Z36" s="448"/>
      <c r="AA36" s="448">
        <f>+AB36+AC36</f>
        <v>462</v>
      </c>
      <c r="AB36" s="483">
        <v>440</v>
      </c>
      <c r="AC36" s="483">
        <v>22</v>
      </c>
      <c r="AD36" s="448"/>
      <c r="AE36" s="483"/>
      <c r="AF36" s="483"/>
      <c r="AG36" s="448"/>
      <c r="AH36" s="483"/>
      <c r="AI36" s="483"/>
      <c r="AJ36" s="448"/>
      <c r="AK36" s="448"/>
      <c r="AL36" s="145"/>
      <c r="AM36" s="369"/>
      <c r="AN36" s="369"/>
      <c r="AO36" s="369"/>
    </row>
    <row r="37" spans="1:41" s="146" customFormat="1" ht="75" hidden="1">
      <c r="A37" s="141">
        <v>6</v>
      </c>
      <c r="B37" s="325" t="s">
        <v>103</v>
      </c>
      <c r="C37" s="141" t="s">
        <v>96</v>
      </c>
      <c r="D37" s="141"/>
      <c r="E37" s="141" t="s">
        <v>104</v>
      </c>
      <c r="F37" s="141" t="s">
        <v>53</v>
      </c>
      <c r="G37" s="447">
        <f t="shared" si="18"/>
        <v>735</v>
      </c>
      <c r="H37" s="447">
        <v>700</v>
      </c>
      <c r="I37" s="447">
        <v>35</v>
      </c>
      <c r="J37" s="448">
        <v>0</v>
      </c>
      <c r="K37" s="483">
        <f t="shared" si="26"/>
        <v>0</v>
      </c>
      <c r="L37" s="448"/>
      <c r="M37" s="448"/>
      <c r="N37" s="483"/>
      <c r="O37" s="448"/>
      <c r="P37" s="448"/>
      <c r="Q37" s="466">
        <f t="shared" si="27"/>
        <v>735</v>
      </c>
      <c r="R37" s="448">
        <v>700</v>
      </c>
      <c r="S37" s="448">
        <v>35</v>
      </c>
      <c r="T37" s="448"/>
      <c r="U37" s="448">
        <f t="shared" si="28"/>
        <v>735</v>
      </c>
      <c r="V37" s="448">
        <f t="shared" si="25"/>
        <v>700</v>
      </c>
      <c r="W37" s="448">
        <f t="shared" si="25"/>
        <v>35</v>
      </c>
      <c r="X37" s="445">
        <f t="shared" si="11"/>
        <v>0</v>
      </c>
      <c r="Y37" s="448"/>
      <c r="Z37" s="448"/>
      <c r="AA37" s="448">
        <f>+AB37+AC37</f>
        <v>735</v>
      </c>
      <c r="AB37" s="483">
        <v>700</v>
      </c>
      <c r="AC37" s="483">
        <v>35</v>
      </c>
      <c r="AD37" s="448"/>
      <c r="AE37" s="483"/>
      <c r="AF37" s="483"/>
      <c r="AG37" s="448"/>
      <c r="AH37" s="483"/>
      <c r="AI37" s="483"/>
      <c r="AJ37" s="448"/>
      <c r="AK37" s="448"/>
      <c r="AL37" s="145"/>
      <c r="AM37" s="369"/>
      <c r="AN37" s="369"/>
      <c r="AO37" s="369"/>
    </row>
    <row r="38" spans="1:41" s="146" customFormat="1" ht="75" hidden="1">
      <c r="A38" s="141">
        <v>7</v>
      </c>
      <c r="B38" s="325" t="s">
        <v>105</v>
      </c>
      <c r="C38" s="141" t="s">
        <v>106</v>
      </c>
      <c r="D38" s="141"/>
      <c r="E38" s="141" t="s">
        <v>107</v>
      </c>
      <c r="F38" s="141" t="s">
        <v>53</v>
      </c>
      <c r="G38" s="447">
        <f t="shared" si="18"/>
        <v>1470</v>
      </c>
      <c r="H38" s="447">
        <v>1400</v>
      </c>
      <c r="I38" s="447">
        <v>70</v>
      </c>
      <c r="J38" s="448">
        <v>0</v>
      </c>
      <c r="K38" s="483">
        <f>+L38+M38</f>
        <v>219.6</v>
      </c>
      <c r="L38" s="448">
        <f>+H38-R38</f>
        <v>218</v>
      </c>
      <c r="M38" s="448">
        <f>+I38-S38</f>
        <v>1.5999999999999943</v>
      </c>
      <c r="N38" s="483"/>
      <c r="O38" s="448"/>
      <c r="P38" s="448"/>
      <c r="Q38" s="466">
        <f t="shared" si="27"/>
        <v>1250.4000000000001</v>
      </c>
      <c r="R38" s="448">
        <v>1182</v>
      </c>
      <c r="S38" s="448">
        <v>68.400000000000006</v>
      </c>
      <c r="T38" s="448"/>
      <c r="U38" s="448">
        <f t="shared" si="28"/>
        <v>1250.4000000000001</v>
      </c>
      <c r="V38" s="448">
        <f t="shared" si="25"/>
        <v>1182</v>
      </c>
      <c r="W38" s="448">
        <f t="shared" si="25"/>
        <v>68.400000000000006</v>
      </c>
      <c r="X38" s="445">
        <f t="shared" si="11"/>
        <v>0</v>
      </c>
      <c r="Y38" s="448"/>
      <c r="Z38" s="448"/>
      <c r="AA38" s="448">
        <f>+AB38+AC38</f>
        <v>1250.4000000000001</v>
      </c>
      <c r="AB38" s="483">
        <v>1182</v>
      </c>
      <c r="AC38" s="483">
        <v>68.400000000000006</v>
      </c>
      <c r="AD38" s="448"/>
      <c r="AE38" s="483"/>
      <c r="AF38" s="483"/>
      <c r="AG38" s="448"/>
      <c r="AH38" s="483"/>
      <c r="AI38" s="483"/>
      <c r="AJ38" s="448"/>
      <c r="AK38" s="448"/>
      <c r="AL38" s="145"/>
      <c r="AM38" s="369"/>
      <c r="AN38" s="369"/>
      <c r="AO38" s="369"/>
    </row>
    <row r="39" spans="1:41" s="146" customFormat="1" ht="75" hidden="1">
      <c r="A39" s="141">
        <v>8</v>
      </c>
      <c r="B39" s="325" t="s">
        <v>108</v>
      </c>
      <c r="C39" s="141" t="s">
        <v>109</v>
      </c>
      <c r="D39" s="141"/>
      <c r="E39" s="141" t="s">
        <v>110</v>
      </c>
      <c r="F39" s="141" t="s">
        <v>54</v>
      </c>
      <c r="G39" s="447">
        <f t="shared" si="18"/>
        <v>810.0100000000001</v>
      </c>
      <c r="H39" s="447">
        <v>771.44</v>
      </c>
      <c r="I39" s="447">
        <v>38.57</v>
      </c>
      <c r="J39" s="448">
        <v>0</v>
      </c>
      <c r="K39" s="483">
        <f t="shared" ref="K39:K40" si="30">+L39+M39</f>
        <v>181.21</v>
      </c>
      <c r="L39" s="448">
        <f t="shared" ref="L39:M40" si="31">+H39-R39</f>
        <v>177.24</v>
      </c>
      <c r="M39" s="448">
        <f t="shared" si="31"/>
        <v>3.9699999999999989</v>
      </c>
      <c r="N39" s="483"/>
      <c r="O39" s="448"/>
      <c r="P39" s="448"/>
      <c r="Q39" s="466">
        <f t="shared" si="27"/>
        <v>628.80000000000007</v>
      </c>
      <c r="R39" s="448">
        <v>594.20000000000005</v>
      </c>
      <c r="S39" s="448">
        <v>34.6</v>
      </c>
      <c r="T39" s="448"/>
      <c r="U39" s="448">
        <f t="shared" si="28"/>
        <v>628.80000000000007</v>
      </c>
      <c r="V39" s="448">
        <f t="shared" si="25"/>
        <v>594.20000000000005</v>
      </c>
      <c r="W39" s="448">
        <f t="shared" si="25"/>
        <v>34.6</v>
      </c>
      <c r="X39" s="445">
        <f t="shared" si="11"/>
        <v>0</v>
      </c>
      <c r="Y39" s="448"/>
      <c r="Z39" s="448"/>
      <c r="AA39" s="448"/>
      <c r="AB39" s="483"/>
      <c r="AC39" s="483"/>
      <c r="AD39" s="448">
        <f>+AE39+AF39</f>
        <v>628.80000000000007</v>
      </c>
      <c r="AE39" s="483">
        <v>594.20000000000005</v>
      </c>
      <c r="AF39" s="483">
        <v>34.6</v>
      </c>
      <c r="AG39" s="448"/>
      <c r="AH39" s="483"/>
      <c r="AI39" s="483"/>
      <c r="AJ39" s="448"/>
      <c r="AK39" s="448"/>
      <c r="AL39" s="145"/>
      <c r="AM39" s="369"/>
      <c r="AN39" s="369"/>
      <c r="AO39" s="369"/>
    </row>
    <row r="40" spans="1:41" s="146" customFormat="1" ht="75" hidden="1">
      <c r="A40" s="141">
        <v>9</v>
      </c>
      <c r="B40" s="325" t="s">
        <v>111</v>
      </c>
      <c r="C40" s="141" t="s">
        <v>93</v>
      </c>
      <c r="D40" s="141"/>
      <c r="E40" s="141" t="s">
        <v>110</v>
      </c>
      <c r="F40" s="141" t="s">
        <v>54</v>
      </c>
      <c r="G40" s="447">
        <f t="shared" si="18"/>
        <v>714</v>
      </c>
      <c r="H40" s="447">
        <v>680</v>
      </c>
      <c r="I40" s="447">
        <v>34</v>
      </c>
      <c r="J40" s="448">
        <v>0</v>
      </c>
      <c r="K40" s="483">
        <f t="shared" si="30"/>
        <v>237.9</v>
      </c>
      <c r="L40" s="448">
        <f t="shared" si="31"/>
        <v>230</v>
      </c>
      <c r="M40" s="448">
        <f t="shared" si="31"/>
        <v>7.8999999999999986</v>
      </c>
      <c r="N40" s="483"/>
      <c r="O40" s="448"/>
      <c r="P40" s="448"/>
      <c r="Q40" s="466">
        <f t="shared" si="27"/>
        <v>476.1</v>
      </c>
      <c r="R40" s="448">
        <v>450</v>
      </c>
      <c r="S40" s="448">
        <v>26.1</v>
      </c>
      <c r="T40" s="448"/>
      <c r="U40" s="448">
        <f t="shared" si="28"/>
        <v>476.1</v>
      </c>
      <c r="V40" s="448">
        <f t="shared" si="25"/>
        <v>450</v>
      </c>
      <c r="W40" s="448">
        <f t="shared" si="25"/>
        <v>26.1</v>
      </c>
      <c r="X40" s="445">
        <f t="shared" si="11"/>
        <v>0</v>
      </c>
      <c r="Y40" s="448"/>
      <c r="Z40" s="448"/>
      <c r="AA40" s="448"/>
      <c r="AB40" s="483"/>
      <c r="AC40" s="483"/>
      <c r="AD40" s="448">
        <f>+AE40+AF40</f>
        <v>476.1</v>
      </c>
      <c r="AE40" s="483">
        <v>450</v>
      </c>
      <c r="AF40" s="483">
        <v>26.1</v>
      </c>
      <c r="AG40" s="448"/>
      <c r="AH40" s="483"/>
      <c r="AI40" s="483"/>
      <c r="AJ40" s="448"/>
      <c r="AK40" s="448"/>
      <c r="AL40" s="145"/>
      <c r="AM40" s="369"/>
      <c r="AN40" s="369"/>
      <c r="AO40" s="369"/>
    </row>
    <row r="41" spans="1:41" s="149" customFormat="1" ht="48" hidden="1" customHeight="1">
      <c r="A41" s="135">
        <v>10</v>
      </c>
      <c r="B41" s="327" t="s">
        <v>793</v>
      </c>
      <c r="C41" s="135" t="s">
        <v>794</v>
      </c>
      <c r="D41" s="135"/>
      <c r="E41" s="135" t="s">
        <v>795</v>
      </c>
      <c r="F41" s="135" t="s">
        <v>54</v>
      </c>
      <c r="G41" s="449">
        <f>H41+I41</f>
        <v>367.5</v>
      </c>
      <c r="H41" s="449">
        <v>350</v>
      </c>
      <c r="I41" s="449">
        <v>17.5</v>
      </c>
      <c r="J41" s="450"/>
      <c r="K41" s="483"/>
      <c r="L41" s="450"/>
      <c r="M41" s="450"/>
      <c r="N41" s="484">
        <f>+O41+P41</f>
        <v>2.8999999999999986</v>
      </c>
      <c r="O41" s="450">
        <f>+R41-H41</f>
        <v>0</v>
      </c>
      <c r="P41" s="450">
        <f>+S41-I41</f>
        <v>2.8999999999999986</v>
      </c>
      <c r="Q41" s="466">
        <f t="shared" si="27"/>
        <v>370.4</v>
      </c>
      <c r="R41" s="450">
        <v>350</v>
      </c>
      <c r="S41" s="450">
        <v>20.399999999999999</v>
      </c>
      <c r="T41" s="450"/>
      <c r="U41" s="448">
        <f t="shared" si="28"/>
        <v>370.4</v>
      </c>
      <c r="V41" s="448">
        <f t="shared" si="25"/>
        <v>350</v>
      </c>
      <c r="W41" s="448">
        <f t="shared" si="25"/>
        <v>20.399999999999999</v>
      </c>
      <c r="X41" s="505">
        <f t="shared" si="11"/>
        <v>0</v>
      </c>
      <c r="Y41" s="450"/>
      <c r="Z41" s="450"/>
      <c r="AA41" s="450"/>
      <c r="AB41" s="484"/>
      <c r="AC41" s="484"/>
      <c r="AD41" s="448">
        <f>+AE41+AF41</f>
        <v>370.4</v>
      </c>
      <c r="AE41" s="484">
        <v>350</v>
      </c>
      <c r="AF41" s="484">
        <v>20.399999999999999</v>
      </c>
      <c r="AG41" s="450"/>
      <c r="AH41" s="484"/>
      <c r="AI41" s="484"/>
      <c r="AJ41" s="450"/>
      <c r="AK41" s="450"/>
      <c r="AL41" s="138"/>
      <c r="AM41" s="370"/>
      <c r="AN41" s="370"/>
      <c r="AO41" s="370"/>
    </row>
    <row r="42" spans="1:41" s="149" customFormat="1" ht="75" hidden="1">
      <c r="A42" s="135">
        <v>11</v>
      </c>
      <c r="B42" s="327" t="s">
        <v>796</v>
      </c>
      <c r="C42" s="135" t="s">
        <v>106</v>
      </c>
      <c r="D42" s="135"/>
      <c r="E42" s="135" t="s">
        <v>797</v>
      </c>
      <c r="F42" s="135" t="s">
        <v>54</v>
      </c>
      <c r="G42" s="449">
        <f>H42+I42</f>
        <v>1102.5</v>
      </c>
      <c r="H42" s="449">
        <v>1050</v>
      </c>
      <c r="I42" s="449">
        <v>52.5</v>
      </c>
      <c r="J42" s="450"/>
      <c r="K42" s="483">
        <f t="shared" ref="K42" si="32">+L42+M42</f>
        <v>100</v>
      </c>
      <c r="L42" s="448">
        <f t="shared" ref="L42" si="33">+H42-R42</f>
        <v>100</v>
      </c>
      <c r="M42" s="448"/>
      <c r="N42" s="484">
        <f>+O42+P42</f>
        <v>2.7999999999999972</v>
      </c>
      <c r="O42" s="450"/>
      <c r="P42" s="450">
        <f>+S42-I42</f>
        <v>2.7999999999999972</v>
      </c>
      <c r="Q42" s="466">
        <f t="shared" si="27"/>
        <v>1005.3</v>
      </c>
      <c r="R42" s="450">
        <v>950</v>
      </c>
      <c r="S42" s="450">
        <v>55.3</v>
      </c>
      <c r="T42" s="450"/>
      <c r="U42" s="448">
        <f t="shared" si="28"/>
        <v>1005.3</v>
      </c>
      <c r="V42" s="448">
        <f t="shared" si="25"/>
        <v>950</v>
      </c>
      <c r="W42" s="448">
        <f t="shared" si="25"/>
        <v>55.3</v>
      </c>
      <c r="X42" s="505"/>
      <c r="Y42" s="450"/>
      <c r="Z42" s="450"/>
      <c r="AA42" s="450"/>
      <c r="AB42" s="484"/>
      <c r="AC42" s="484"/>
      <c r="AD42" s="448">
        <f>+AE42+AF42</f>
        <v>1005.3</v>
      </c>
      <c r="AE42" s="484">
        <v>950</v>
      </c>
      <c r="AF42" s="484">
        <v>55.3</v>
      </c>
      <c r="AG42" s="450"/>
      <c r="AH42" s="484"/>
      <c r="AI42" s="484"/>
      <c r="AJ42" s="450"/>
      <c r="AK42" s="450"/>
      <c r="AL42" s="138"/>
      <c r="AM42" s="370"/>
      <c r="AN42" s="370"/>
      <c r="AO42" s="370"/>
    </row>
    <row r="43" spans="1:41" s="146" customFormat="1" ht="45" hidden="1">
      <c r="A43" s="141">
        <f>+A42+1</f>
        <v>12</v>
      </c>
      <c r="B43" s="325" t="s">
        <v>1110</v>
      </c>
      <c r="C43" s="141" t="s">
        <v>106</v>
      </c>
      <c r="D43" s="141"/>
      <c r="E43" s="141" t="s">
        <v>113</v>
      </c>
      <c r="F43" s="141" t="s">
        <v>55</v>
      </c>
      <c r="G43" s="447">
        <f t="shared" si="18"/>
        <v>1325</v>
      </c>
      <c r="H43" s="447">
        <v>1263</v>
      </c>
      <c r="I43" s="447">
        <v>62</v>
      </c>
      <c r="J43" s="448">
        <v>0</v>
      </c>
      <c r="K43" s="483"/>
      <c r="L43" s="448"/>
      <c r="M43" s="448"/>
      <c r="N43" s="483">
        <f>+O43+P43</f>
        <v>733.01</v>
      </c>
      <c r="O43" s="448">
        <f>+R43-H43</f>
        <v>725.24</v>
      </c>
      <c r="P43" s="448">
        <f>+S43-I43</f>
        <v>7.769999999999996</v>
      </c>
      <c r="Q43" s="501">
        <f t="shared" ref="Q43:Q45" si="34">R43+S43</f>
        <v>2058.0100000000002</v>
      </c>
      <c r="R43" s="481">
        <v>1988.24</v>
      </c>
      <c r="S43" s="481">
        <v>69.77</v>
      </c>
      <c r="T43" s="533"/>
      <c r="U43" s="448">
        <f t="shared" si="28"/>
        <v>0</v>
      </c>
      <c r="V43" s="448">
        <f t="shared" si="25"/>
        <v>0</v>
      </c>
      <c r="W43" s="448">
        <f t="shared" si="25"/>
        <v>0</v>
      </c>
      <c r="X43" s="445">
        <f t="shared" si="11"/>
        <v>0</v>
      </c>
      <c r="Y43" s="448"/>
      <c r="Z43" s="448"/>
      <c r="AA43" s="448"/>
      <c r="AB43" s="483"/>
      <c r="AC43" s="483"/>
      <c r="AD43" s="448"/>
      <c r="AE43" s="483"/>
      <c r="AF43" s="483"/>
      <c r="AG43" s="447">
        <f t="shared" ref="AG43:AG45" si="35">AH43+AI43</f>
        <v>2058.0100000000002</v>
      </c>
      <c r="AH43" s="481">
        <v>1988.24</v>
      </c>
      <c r="AI43" s="481">
        <v>69.77</v>
      </c>
      <c r="AJ43" s="448"/>
      <c r="AK43" s="448"/>
      <c r="AL43" s="145"/>
      <c r="AM43" s="369"/>
      <c r="AN43" s="369"/>
      <c r="AO43" s="369"/>
    </row>
    <row r="44" spans="1:41" s="146" customFormat="1" ht="30" hidden="1">
      <c r="A44" s="141">
        <f t="shared" ref="A44:A45" si="36">+A43+1</f>
        <v>13</v>
      </c>
      <c r="B44" s="325" t="s">
        <v>1112</v>
      </c>
      <c r="C44" s="141" t="s">
        <v>106</v>
      </c>
      <c r="D44" s="141"/>
      <c r="E44" s="141"/>
      <c r="F44" s="141" t="s">
        <v>1111</v>
      </c>
      <c r="G44" s="447">
        <f t="shared" si="18"/>
        <v>460</v>
      </c>
      <c r="H44" s="447">
        <v>437</v>
      </c>
      <c r="I44" s="447">
        <v>23</v>
      </c>
      <c r="J44" s="448"/>
      <c r="K44" s="483">
        <f t="shared" si="26"/>
        <v>0</v>
      </c>
      <c r="L44" s="448"/>
      <c r="M44" s="448"/>
      <c r="N44" s="483"/>
      <c r="O44" s="448"/>
      <c r="P44" s="448"/>
      <c r="Q44" s="501">
        <f t="shared" si="34"/>
        <v>460</v>
      </c>
      <c r="R44" s="481">
        <v>437</v>
      </c>
      <c r="S44" s="481">
        <v>23</v>
      </c>
      <c r="T44" s="533"/>
      <c r="U44" s="448"/>
      <c r="V44" s="448"/>
      <c r="W44" s="448"/>
      <c r="X44" s="445"/>
      <c r="Y44" s="448"/>
      <c r="Z44" s="448"/>
      <c r="AA44" s="448"/>
      <c r="AB44" s="483"/>
      <c r="AC44" s="483"/>
      <c r="AD44" s="448"/>
      <c r="AE44" s="483"/>
      <c r="AF44" s="483"/>
      <c r="AG44" s="447">
        <f t="shared" si="35"/>
        <v>460</v>
      </c>
      <c r="AH44" s="481">
        <v>437</v>
      </c>
      <c r="AI44" s="481">
        <v>23</v>
      </c>
      <c r="AJ44" s="448"/>
      <c r="AK44" s="448"/>
      <c r="AL44" s="145"/>
      <c r="AM44" s="369"/>
      <c r="AN44" s="369"/>
      <c r="AO44" s="369"/>
    </row>
    <row r="45" spans="1:41" s="146" customFormat="1" ht="45" hidden="1">
      <c r="A45" s="141">
        <f t="shared" si="36"/>
        <v>14</v>
      </c>
      <c r="B45" s="325" t="s">
        <v>114</v>
      </c>
      <c r="C45" s="141" t="s">
        <v>115</v>
      </c>
      <c r="D45" s="141"/>
      <c r="E45" s="141" t="s">
        <v>116</v>
      </c>
      <c r="F45" s="141" t="s">
        <v>55</v>
      </c>
      <c r="G45" s="447">
        <f t="shared" si="18"/>
        <v>840</v>
      </c>
      <c r="H45" s="447">
        <v>800</v>
      </c>
      <c r="I45" s="447">
        <v>40</v>
      </c>
      <c r="J45" s="448">
        <v>0</v>
      </c>
      <c r="K45" s="483">
        <f t="shared" si="26"/>
        <v>0</v>
      </c>
      <c r="L45" s="448"/>
      <c r="M45" s="448"/>
      <c r="N45" s="483"/>
      <c r="O45" s="448"/>
      <c r="P45" s="448"/>
      <c r="Q45" s="501">
        <f t="shared" si="34"/>
        <v>840</v>
      </c>
      <c r="R45" s="481">
        <v>800</v>
      </c>
      <c r="S45" s="481">
        <v>40</v>
      </c>
      <c r="T45" s="533"/>
      <c r="U45" s="448">
        <f t="shared" si="28"/>
        <v>0</v>
      </c>
      <c r="V45" s="448">
        <f t="shared" si="25"/>
        <v>0</v>
      </c>
      <c r="W45" s="448">
        <f t="shared" si="25"/>
        <v>0</v>
      </c>
      <c r="X45" s="445">
        <f t="shared" si="11"/>
        <v>0</v>
      </c>
      <c r="Y45" s="448"/>
      <c r="Z45" s="448"/>
      <c r="AA45" s="448"/>
      <c r="AB45" s="483"/>
      <c r="AC45" s="483"/>
      <c r="AD45" s="448"/>
      <c r="AE45" s="483"/>
      <c r="AF45" s="483"/>
      <c r="AG45" s="447">
        <f t="shared" si="35"/>
        <v>840</v>
      </c>
      <c r="AH45" s="481">
        <v>800</v>
      </c>
      <c r="AI45" s="481">
        <v>40</v>
      </c>
      <c r="AJ45" s="448"/>
      <c r="AK45" s="448"/>
      <c r="AL45" s="145"/>
      <c r="AM45" s="369"/>
      <c r="AN45" s="369"/>
      <c r="AO45" s="369"/>
    </row>
    <row r="46" spans="1:41" s="14" customFormat="1" ht="23.25" customHeight="1">
      <c r="A46" s="4" t="s">
        <v>989</v>
      </c>
      <c r="B46" s="507" t="s">
        <v>118</v>
      </c>
      <c r="C46" s="4"/>
      <c r="D46" s="4"/>
      <c r="E46" s="417">
        <v>0</v>
      </c>
      <c r="F46" s="417"/>
      <c r="G46" s="446">
        <f>SUM(G47:G55)</f>
        <v>9025.7000000000007</v>
      </c>
      <c r="H46" s="446">
        <f t="shared" ref="H46:S46" si="37">SUM(H47:H55)</f>
        <v>8595.9000000000015</v>
      </c>
      <c r="I46" s="446">
        <f t="shared" si="37"/>
        <v>429.8</v>
      </c>
      <c r="J46" s="446">
        <f t="shared" si="37"/>
        <v>0</v>
      </c>
      <c r="K46" s="446">
        <f t="shared" si="37"/>
        <v>745.09999999999991</v>
      </c>
      <c r="L46" s="446">
        <f t="shared" si="37"/>
        <v>732.09999999999991</v>
      </c>
      <c r="M46" s="446">
        <f t="shared" si="37"/>
        <v>13</v>
      </c>
      <c r="N46" s="446">
        <f t="shared" si="37"/>
        <v>745.1</v>
      </c>
      <c r="O46" s="446">
        <f t="shared" si="37"/>
        <v>732.1</v>
      </c>
      <c r="P46" s="446">
        <f t="shared" si="37"/>
        <v>12.999999999999996</v>
      </c>
      <c r="Q46" s="446">
        <f t="shared" si="37"/>
        <v>9025.6999999999989</v>
      </c>
      <c r="R46" s="446">
        <f t="shared" si="37"/>
        <v>8595.9</v>
      </c>
      <c r="S46" s="446">
        <f t="shared" si="37"/>
        <v>429.8</v>
      </c>
      <c r="T46" s="446"/>
      <c r="U46" s="446">
        <f t="shared" ref="U46:AK46" si="38">SUM(U47:U54)</f>
        <v>6026.16</v>
      </c>
      <c r="V46" s="446">
        <f t="shared" si="38"/>
        <v>5715</v>
      </c>
      <c r="W46" s="446">
        <f t="shared" si="38"/>
        <v>311.16000000000003</v>
      </c>
      <c r="X46" s="446">
        <f t="shared" si="38"/>
        <v>1624.46</v>
      </c>
      <c r="Y46" s="446">
        <f t="shared" si="38"/>
        <v>1547.1</v>
      </c>
      <c r="Z46" s="446">
        <f t="shared" si="38"/>
        <v>77.36</v>
      </c>
      <c r="AA46" s="446">
        <f t="shared" si="38"/>
        <v>2186</v>
      </c>
      <c r="AB46" s="482">
        <f t="shared" si="38"/>
        <v>2074</v>
      </c>
      <c r="AC46" s="482">
        <f t="shared" si="38"/>
        <v>112</v>
      </c>
      <c r="AD46" s="446">
        <f t="shared" si="38"/>
        <v>2215.7000000000003</v>
      </c>
      <c r="AE46" s="482">
        <f t="shared" si="38"/>
        <v>2093.9</v>
      </c>
      <c r="AF46" s="482">
        <f t="shared" si="38"/>
        <v>121.8</v>
      </c>
      <c r="AG46" s="446">
        <f>SUM(AG47:AG55)</f>
        <v>2999.54</v>
      </c>
      <c r="AH46" s="446">
        <f t="shared" ref="AH46:AI46" si="39">SUM(AH47:AH55)</f>
        <v>2880.9</v>
      </c>
      <c r="AI46" s="446">
        <f t="shared" si="39"/>
        <v>118.64</v>
      </c>
      <c r="AJ46" s="446"/>
      <c r="AK46" s="446">
        <f t="shared" si="38"/>
        <v>0</v>
      </c>
      <c r="AL46" s="16"/>
      <c r="AM46" s="368">
        <f>+'NĂM 2022'!K30+'NĂM 2023'!N30+'NĂM 2024'!J31+'NĂM 2025'!J30</f>
        <v>9025.7000000000007</v>
      </c>
      <c r="AN46" s="368">
        <f>+'NĂM 2022'!L30+'NĂM 2023'!O30+'NĂM 2024'!K31+'NĂM 2025'!K30</f>
        <v>8595.9000000000015</v>
      </c>
      <c r="AO46" s="368">
        <f>+'NĂM 2022'!M30+'NĂM 2023'!P30+'NĂM 2024'!L31+'NĂM 2025'!L30</f>
        <v>429.8</v>
      </c>
    </row>
    <row r="47" spans="1:41" s="146" customFormat="1" ht="75" hidden="1">
      <c r="A47" s="141">
        <v>1</v>
      </c>
      <c r="B47" s="325" t="s">
        <v>119</v>
      </c>
      <c r="C47" s="141" t="s">
        <v>120</v>
      </c>
      <c r="D47" s="141"/>
      <c r="E47" s="141" t="s">
        <v>94</v>
      </c>
      <c r="F47" s="141" t="s">
        <v>52</v>
      </c>
      <c r="G47" s="447">
        <f t="shared" si="18"/>
        <v>367.5</v>
      </c>
      <c r="H47" s="447">
        <v>350</v>
      </c>
      <c r="I47" s="447">
        <v>17.5</v>
      </c>
      <c r="J47" s="448">
        <v>0</v>
      </c>
      <c r="K47" s="483"/>
      <c r="L47" s="448"/>
      <c r="M47" s="448"/>
      <c r="N47" s="483"/>
      <c r="O47" s="448"/>
      <c r="P47" s="448"/>
      <c r="Q47" s="448">
        <f>+R47+S47</f>
        <v>367.5</v>
      </c>
      <c r="R47" s="448">
        <v>350</v>
      </c>
      <c r="S47" s="448">
        <v>17.5</v>
      </c>
      <c r="T47" s="448"/>
      <c r="U47" s="448">
        <f>+V47+W47</f>
        <v>367.5</v>
      </c>
      <c r="V47" s="448">
        <f>+Y47+AB47+AE47</f>
        <v>350</v>
      </c>
      <c r="W47" s="448">
        <f>+Z47+AC47+AF47</f>
        <v>17.5</v>
      </c>
      <c r="X47" s="445">
        <f t="shared" si="11"/>
        <v>367.5</v>
      </c>
      <c r="Y47" s="447">
        <v>350</v>
      </c>
      <c r="Z47" s="447">
        <v>17.5</v>
      </c>
      <c r="AA47" s="447"/>
      <c r="AB47" s="481"/>
      <c r="AC47" s="481"/>
      <c r="AD47" s="447"/>
      <c r="AE47" s="481"/>
      <c r="AF47" s="481"/>
      <c r="AG47" s="447"/>
      <c r="AH47" s="481"/>
      <c r="AI47" s="481"/>
      <c r="AJ47" s="447"/>
      <c r="AK47" s="448"/>
      <c r="AL47" s="145"/>
      <c r="AM47" s="369">
        <f>+G46-U46</f>
        <v>2999.5400000000009</v>
      </c>
      <c r="AN47" s="369">
        <f>+H46-V46</f>
        <v>2880.9000000000015</v>
      </c>
      <c r="AO47" s="369">
        <f>+I46-W46</f>
        <v>118.63999999999999</v>
      </c>
    </row>
    <row r="48" spans="1:41" s="146" customFormat="1" ht="75" hidden="1">
      <c r="A48" s="141">
        <f>+A47+1</f>
        <v>2</v>
      </c>
      <c r="B48" s="325" t="s">
        <v>121</v>
      </c>
      <c r="C48" s="141" t="s">
        <v>122</v>
      </c>
      <c r="D48" s="141"/>
      <c r="E48" s="141" t="s">
        <v>94</v>
      </c>
      <c r="F48" s="141" t="s">
        <v>52</v>
      </c>
      <c r="G48" s="447">
        <f t="shared" si="18"/>
        <v>367.5</v>
      </c>
      <c r="H48" s="447">
        <v>350</v>
      </c>
      <c r="I48" s="447">
        <v>17.5</v>
      </c>
      <c r="J48" s="448">
        <v>0</v>
      </c>
      <c r="K48" s="483"/>
      <c r="L48" s="448"/>
      <c r="M48" s="448"/>
      <c r="N48" s="483"/>
      <c r="O48" s="448"/>
      <c r="P48" s="448"/>
      <c r="Q48" s="448">
        <f t="shared" ref="Q48:Q52" si="40">+R48+S48</f>
        <v>367.5</v>
      </c>
      <c r="R48" s="448">
        <v>350</v>
      </c>
      <c r="S48" s="448">
        <v>17.5</v>
      </c>
      <c r="T48" s="448"/>
      <c r="U48" s="448">
        <f t="shared" ref="U48:U54" si="41">+V48+W48</f>
        <v>367.5</v>
      </c>
      <c r="V48" s="448">
        <f t="shared" ref="V48:W54" si="42">+Y48+AB48+AE48</f>
        <v>350</v>
      </c>
      <c r="W48" s="448">
        <f t="shared" si="42"/>
        <v>17.5</v>
      </c>
      <c r="X48" s="445">
        <f t="shared" si="11"/>
        <v>367.5</v>
      </c>
      <c r="Y48" s="447">
        <v>350</v>
      </c>
      <c r="Z48" s="447">
        <v>17.5</v>
      </c>
      <c r="AA48" s="447"/>
      <c r="AB48" s="481"/>
      <c r="AC48" s="481"/>
      <c r="AD48" s="447"/>
      <c r="AE48" s="481"/>
      <c r="AF48" s="481"/>
      <c r="AG48" s="447"/>
      <c r="AH48" s="481"/>
      <c r="AI48" s="481"/>
      <c r="AJ48" s="447"/>
      <c r="AK48" s="448"/>
      <c r="AL48" s="145"/>
      <c r="AM48" s="465">
        <f>+AM47-AG46</f>
        <v>0</v>
      </c>
      <c r="AN48" s="465">
        <f t="shared" ref="AN48:AO48" si="43">+AN47-AH46</f>
        <v>0</v>
      </c>
      <c r="AO48" s="369">
        <f t="shared" si="43"/>
        <v>0</v>
      </c>
    </row>
    <row r="49" spans="1:41" s="146" customFormat="1" ht="75" hidden="1">
      <c r="A49" s="141">
        <f t="shared" ref="A49:A55" si="44">+A48+1</f>
        <v>3</v>
      </c>
      <c r="B49" s="325" t="s">
        <v>123</v>
      </c>
      <c r="C49" s="141" t="s">
        <v>124</v>
      </c>
      <c r="D49" s="141"/>
      <c r="E49" s="141" t="s">
        <v>125</v>
      </c>
      <c r="F49" s="141" t="s">
        <v>52</v>
      </c>
      <c r="G49" s="447">
        <f t="shared" si="18"/>
        <v>367.5</v>
      </c>
      <c r="H49" s="447">
        <v>350</v>
      </c>
      <c r="I49" s="447">
        <v>17.5</v>
      </c>
      <c r="J49" s="448">
        <v>0</v>
      </c>
      <c r="K49" s="483"/>
      <c r="L49" s="448"/>
      <c r="M49" s="448"/>
      <c r="N49" s="483"/>
      <c r="O49" s="448"/>
      <c r="P49" s="448"/>
      <c r="Q49" s="448">
        <f t="shared" si="40"/>
        <v>367.5</v>
      </c>
      <c r="R49" s="448">
        <v>350</v>
      </c>
      <c r="S49" s="448">
        <v>17.5</v>
      </c>
      <c r="T49" s="448"/>
      <c r="U49" s="448">
        <f t="shared" si="41"/>
        <v>367.5</v>
      </c>
      <c r="V49" s="448">
        <f t="shared" si="42"/>
        <v>350</v>
      </c>
      <c r="W49" s="448">
        <f t="shared" si="42"/>
        <v>17.5</v>
      </c>
      <c r="X49" s="445">
        <f t="shared" si="11"/>
        <v>367.5</v>
      </c>
      <c r="Y49" s="447">
        <v>350</v>
      </c>
      <c r="Z49" s="447">
        <v>17.5</v>
      </c>
      <c r="AA49" s="447"/>
      <c r="AB49" s="481"/>
      <c r="AC49" s="481"/>
      <c r="AD49" s="447"/>
      <c r="AE49" s="481"/>
      <c r="AF49" s="481"/>
      <c r="AG49" s="447"/>
      <c r="AH49" s="481"/>
      <c r="AI49" s="481"/>
      <c r="AJ49" s="447"/>
      <c r="AK49" s="448"/>
      <c r="AL49" s="145"/>
      <c r="AM49" s="369"/>
      <c r="AN49" s="369"/>
      <c r="AO49" s="369"/>
    </row>
    <row r="50" spans="1:41" s="146" customFormat="1" ht="75" hidden="1">
      <c r="A50" s="141">
        <f t="shared" si="44"/>
        <v>4</v>
      </c>
      <c r="B50" s="325" t="s">
        <v>126</v>
      </c>
      <c r="C50" s="141" t="s">
        <v>127</v>
      </c>
      <c r="D50" s="141"/>
      <c r="E50" s="141" t="s">
        <v>128</v>
      </c>
      <c r="F50" s="141" t="s">
        <v>52</v>
      </c>
      <c r="G50" s="447">
        <f>H50+I50</f>
        <v>521.96</v>
      </c>
      <c r="H50" s="447">
        <v>497.1</v>
      </c>
      <c r="I50" s="447">
        <v>24.86</v>
      </c>
      <c r="J50" s="448">
        <v>0</v>
      </c>
      <c r="K50" s="483"/>
      <c r="L50" s="448"/>
      <c r="M50" s="448"/>
      <c r="N50" s="483"/>
      <c r="O50" s="448"/>
      <c r="P50" s="448"/>
      <c r="Q50" s="448">
        <f t="shared" si="40"/>
        <v>521.96</v>
      </c>
      <c r="R50" s="448">
        <v>497.1</v>
      </c>
      <c r="S50" s="448">
        <v>24.86</v>
      </c>
      <c r="T50" s="448"/>
      <c r="U50" s="448">
        <f t="shared" si="41"/>
        <v>521.96</v>
      </c>
      <c r="V50" s="448">
        <f t="shared" si="42"/>
        <v>497.1</v>
      </c>
      <c r="W50" s="448">
        <f t="shared" si="42"/>
        <v>24.86</v>
      </c>
      <c r="X50" s="445">
        <f t="shared" si="11"/>
        <v>521.96</v>
      </c>
      <c r="Y50" s="447">
        <v>497.1</v>
      </c>
      <c r="Z50" s="447">
        <v>24.86</v>
      </c>
      <c r="AA50" s="447"/>
      <c r="AB50" s="481"/>
      <c r="AC50" s="481"/>
      <c r="AD50" s="447"/>
      <c r="AE50" s="481"/>
      <c r="AF50" s="481"/>
      <c r="AG50" s="447"/>
      <c r="AH50" s="481"/>
      <c r="AI50" s="481"/>
      <c r="AJ50" s="447"/>
      <c r="AK50" s="448"/>
      <c r="AL50" s="145"/>
      <c r="AM50" s="369"/>
      <c r="AN50" s="369"/>
      <c r="AO50" s="369"/>
    </row>
    <row r="51" spans="1:41" s="146" customFormat="1" ht="75" hidden="1">
      <c r="A51" s="141">
        <f t="shared" si="44"/>
        <v>5</v>
      </c>
      <c r="B51" s="325" t="s">
        <v>129</v>
      </c>
      <c r="C51" s="141" t="s">
        <v>127</v>
      </c>
      <c r="D51" s="141"/>
      <c r="E51" s="141" t="s">
        <v>130</v>
      </c>
      <c r="F51" s="141" t="s">
        <v>53</v>
      </c>
      <c r="G51" s="447">
        <f t="shared" si="18"/>
        <v>2625</v>
      </c>
      <c r="H51" s="447">
        <v>2500</v>
      </c>
      <c r="I51" s="447">
        <v>125</v>
      </c>
      <c r="J51" s="448">
        <v>0</v>
      </c>
      <c r="K51" s="483">
        <f>+L51+M51</f>
        <v>439</v>
      </c>
      <c r="L51" s="448">
        <f>+H51-R51</f>
        <v>426</v>
      </c>
      <c r="M51" s="448">
        <f>+I51-S51</f>
        <v>13</v>
      </c>
      <c r="N51" s="483"/>
      <c r="O51" s="448"/>
      <c r="P51" s="448"/>
      <c r="Q51" s="448">
        <f t="shared" si="40"/>
        <v>2186</v>
      </c>
      <c r="R51" s="448">
        <v>2074</v>
      </c>
      <c r="S51" s="448">
        <v>112</v>
      </c>
      <c r="T51" s="448"/>
      <c r="U51" s="448">
        <f t="shared" si="41"/>
        <v>2186</v>
      </c>
      <c r="V51" s="448">
        <f t="shared" si="42"/>
        <v>2074</v>
      </c>
      <c r="W51" s="448">
        <f t="shared" si="42"/>
        <v>112</v>
      </c>
      <c r="X51" s="445">
        <f t="shared" si="11"/>
        <v>0</v>
      </c>
      <c r="Y51" s="448"/>
      <c r="Z51" s="448"/>
      <c r="AA51" s="448">
        <f>+AB51+AC51</f>
        <v>2186</v>
      </c>
      <c r="AB51" s="483">
        <v>2074</v>
      </c>
      <c r="AC51" s="483">
        <v>112</v>
      </c>
      <c r="AD51" s="448"/>
      <c r="AE51" s="483"/>
      <c r="AF51" s="483"/>
      <c r="AG51" s="448"/>
      <c r="AH51" s="483"/>
      <c r="AI51" s="483"/>
      <c r="AJ51" s="448"/>
      <c r="AK51" s="448"/>
      <c r="AL51" s="145"/>
      <c r="AM51" s="369"/>
      <c r="AN51" s="369"/>
      <c r="AO51" s="369"/>
    </row>
    <row r="52" spans="1:41" s="146" customFormat="1" ht="75" hidden="1">
      <c r="A52" s="141">
        <f t="shared" si="44"/>
        <v>6</v>
      </c>
      <c r="B52" s="325" t="s">
        <v>131</v>
      </c>
      <c r="C52" s="141" t="s">
        <v>132</v>
      </c>
      <c r="D52" s="141"/>
      <c r="E52" s="141" t="s">
        <v>130</v>
      </c>
      <c r="F52" s="141" t="s">
        <v>54</v>
      </c>
      <c r="G52" s="447">
        <f t="shared" si="18"/>
        <v>2520</v>
      </c>
      <c r="H52" s="447">
        <v>2400</v>
      </c>
      <c r="I52" s="447">
        <v>120</v>
      </c>
      <c r="J52" s="448">
        <v>0</v>
      </c>
      <c r="K52" s="483">
        <f>+L52+M52</f>
        <v>306.09999999999991</v>
      </c>
      <c r="L52" s="448">
        <f>+H52-R52</f>
        <v>306.09999999999991</v>
      </c>
      <c r="M52" s="448"/>
      <c r="N52" s="483">
        <f>+O52+P52</f>
        <v>1.7999999999999972</v>
      </c>
      <c r="O52" s="448"/>
      <c r="P52" s="448">
        <f>+S52-I52</f>
        <v>1.7999999999999972</v>
      </c>
      <c r="Q52" s="448">
        <f t="shared" si="40"/>
        <v>2215.7000000000003</v>
      </c>
      <c r="R52" s="448">
        <v>2093.9</v>
      </c>
      <c r="S52" s="448">
        <v>121.8</v>
      </c>
      <c r="T52" s="448"/>
      <c r="U52" s="448">
        <f t="shared" si="41"/>
        <v>2215.7000000000003</v>
      </c>
      <c r="V52" s="448">
        <f t="shared" si="42"/>
        <v>2093.9</v>
      </c>
      <c r="W52" s="448">
        <f t="shared" si="42"/>
        <v>121.8</v>
      </c>
      <c r="X52" s="445">
        <f t="shared" si="11"/>
        <v>0</v>
      </c>
      <c r="Y52" s="448"/>
      <c r="Z52" s="448"/>
      <c r="AA52" s="448"/>
      <c r="AB52" s="483"/>
      <c r="AC52" s="483"/>
      <c r="AD52" s="448">
        <f>+AE52+AF52</f>
        <v>2215.7000000000003</v>
      </c>
      <c r="AE52" s="483">
        <v>2093.9</v>
      </c>
      <c r="AF52" s="483">
        <v>121.8</v>
      </c>
      <c r="AG52" s="448"/>
      <c r="AH52" s="483"/>
      <c r="AI52" s="483"/>
      <c r="AJ52" s="448"/>
      <c r="AK52" s="448"/>
      <c r="AL52" s="145"/>
      <c r="AM52" s="369"/>
      <c r="AN52" s="369"/>
      <c r="AO52" s="369"/>
    </row>
    <row r="53" spans="1:41" s="146" customFormat="1" ht="75" hidden="1">
      <c r="A53" s="141">
        <f t="shared" si="44"/>
        <v>7</v>
      </c>
      <c r="B53" s="325" t="s">
        <v>133</v>
      </c>
      <c r="C53" s="141" t="s">
        <v>134</v>
      </c>
      <c r="D53" s="141"/>
      <c r="E53" s="141" t="s">
        <v>128</v>
      </c>
      <c r="F53" s="141" t="s">
        <v>55</v>
      </c>
      <c r="G53" s="447">
        <f t="shared" si="18"/>
        <v>1626.24</v>
      </c>
      <c r="H53" s="447">
        <v>1548.8</v>
      </c>
      <c r="I53" s="447">
        <v>77.44</v>
      </c>
      <c r="J53" s="448">
        <v>0</v>
      </c>
      <c r="K53" s="483"/>
      <c r="L53" s="448"/>
      <c r="M53" s="448"/>
      <c r="N53" s="483">
        <f t="shared" ref="N53:N54" si="45">+O53+P53</f>
        <v>0</v>
      </c>
      <c r="O53" s="448"/>
      <c r="P53" s="448"/>
      <c r="Q53" s="447">
        <f t="shared" ref="Q53:Q55" si="46">R53+S53</f>
        <v>1626.24</v>
      </c>
      <c r="R53" s="481">
        <v>1548.8</v>
      </c>
      <c r="S53" s="481">
        <v>77.44</v>
      </c>
      <c r="T53" s="448"/>
      <c r="U53" s="448">
        <f t="shared" si="41"/>
        <v>0</v>
      </c>
      <c r="V53" s="448">
        <f t="shared" ref="V53:V54" si="47">+Y53+AB53+AD53</f>
        <v>0</v>
      </c>
      <c r="W53" s="448">
        <f t="shared" si="42"/>
        <v>0</v>
      </c>
      <c r="X53" s="445">
        <f t="shared" si="11"/>
        <v>0</v>
      </c>
      <c r="Y53" s="448"/>
      <c r="Z53" s="448"/>
      <c r="AA53" s="448"/>
      <c r="AB53" s="483"/>
      <c r="AC53" s="483"/>
      <c r="AD53" s="448"/>
      <c r="AE53" s="483"/>
      <c r="AF53" s="483"/>
      <c r="AG53" s="447">
        <f t="shared" ref="AG53:AG55" si="48">AH53+AI53</f>
        <v>1626.24</v>
      </c>
      <c r="AH53" s="481">
        <v>1548.8</v>
      </c>
      <c r="AI53" s="481">
        <v>77.44</v>
      </c>
      <c r="AJ53" s="448"/>
      <c r="AK53" s="448"/>
      <c r="AL53" s="145"/>
      <c r="AM53" s="369"/>
      <c r="AN53" s="369"/>
      <c r="AO53" s="369"/>
    </row>
    <row r="54" spans="1:41" s="146" customFormat="1" ht="30" hidden="1">
      <c r="A54" s="141">
        <f t="shared" si="44"/>
        <v>8</v>
      </c>
      <c r="B54" s="325" t="s">
        <v>135</v>
      </c>
      <c r="C54" s="141" t="s">
        <v>134</v>
      </c>
      <c r="D54" s="141"/>
      <c r="E54" s="141" t="s">
        <v>136</v>
      </c>
      <c r="F54" s="141" t="s">
        <v>55</v>
      </c>
      <c r="G54" s="447">
        <f t="shared" si="18"/>
        <v>630</v>
      </c>
      <c r="H54" s="447">
        <v>600</v>
      </c>
      <c r="I54" s="447">
        <v>30</v>
      </c>
      <c r="J54" s="448">
        <v>0</v>
      </c>
      <c r="K54" s="483"/>
      <c r="L54" s="448"/>
      <c r="M54" s="448"/>
      <c r="N54" s="483">
        <f t="shared" si="45"/>
        <v>0</v>
      </c>
      <c r="O54" s="448"/>
      <c r="P54" s="448"/>
      <c r="Q54" s="447">
        <f t="shared" si="46"/>
        <v>630</v>
      </c>
      <c r="R54" s="481">
        <v>600</v>
      </c>
      <c r="S54" s="481">
        <v>30</v>
      </c>
      <c r="T54" s="448"/>
      <c r="U54" s="448">
        <f t="shared" si="41"/>
        <v>0</v>
      </c>
      <c r="V54" s="448">
        <f t="shared" si="47"/>
        <v>0</v>
      </c>
      <c r="W54" s="448">
        <f t="shared" si="42"/>
        <v>0</v>
      </c>
      <c r="X54" s="445">
        <f t="shared" si="11"/>
        <v>0</v>
      </c>
      <c r="Y54" s="448"/>
      <c r="Z54" s="448"/>
      <c r="AA54" s="448"/>
      <c r="AB54" s="483"/>
      <c r="AC54" s="483"/>
      <c r="AD54" s="448"/>
      <c r="AE54" s="483"/>
      <c r="AF54" s="483"/>
      <c r="AG54" s="447">
        <f t="shared" si="48"/>
        <v>630</v>
      </c>
      <c r="AH54" s="481">
        <v>600</v>
      </c>
      <c r="AI54" s="481">
        <v>30</v>
      </c>
      <c r="AJ54" s="448"/>
      <c r="AK54" s="448"/>
      <c r="AL54" s="145"/>
      <c r="AM54" s="369"/>
      <c r="AN54" s="369"/>
      <c r="AO54" s="369"/>
    </row>
    <row r="55" spans="1:41" s="146" customFormat="1" ht="45" hidden="1">
      <c r="A55" s="141">
        <f t="shared" si="44"/>
        <v>9</v>
      </c>
      <c r="B55" s="325" t="s">
        <v>1168</v>
      </c>
      <c r="C55" s="141" t="s">
        <v>134</v>
      </c>
      <c r="D55" s="141"/>
      <c r="E55" s="141" t="s">
        <v>136</v>
      </c>
      <c r="F55" s="141" t="s">
        <v>55</v>
      </c>
      <c r="G55" s="447"/>
      <c r="H55" s="447"/>
      <c r="I55" s="447"/>
      <c r="J55" s="448"/>
      <c r="K55" s="483"/>
      <c r="L55" s="448"/>
      <c r="M55" s="448"/>
      <c r="N55" s="447">
        <f t="shared" ref="N55" si="49">O55+P55</f>
        <v>743.30000000000007</v>
      </c>
      <c r="O55" s="481">
        <v>732.1</v>
      </c>
      <c r="P55" s="481">
        <v>11.2</v>
      </c>
      <c r="Q55" s="447">
        <f t="shared" si="46"/>
        <v>743.30000000000007</v>
      </c>
      <c r="R55" s="481">
        <v>732.1</v>
      </c>
      <c r="S55" s="481">
        <v>11.2</v>
      </c>
      <c r="T55" s="533" t="s">
        <v>1166</v>
      </c>
      <c r="U55" s="448"/>
      <c r="V55" s="448"/>
      <c r="W55" s="448"/>
      <c r="X55" s="445"/>
      <c r="Y55" s="448"/>
      <c r="Z55" s="448"/>
      <c r="AA55" s="448"/>
      <c r="AB55" s="483"/>
      <c r="AC55" s="483"/>
      <c r="AD55" s="448"/>
      <c r="AE55" s="483"/>
      <c r="AF55" s="483"/>
      <c r="AG55" s="447">
        <f t="shared" si="48"/>
        <v>743.30000000000007</v>
      </c>
      <c r="AH55" s="481">
        <v>732.1</v>
      </c>
      <c r="AI55" s="481">
        <v>11.2</v>
      </c>
      <c r="AJ55" s="448"/>
      <c r="AK55" s="448"/>
      <c r="AL55" s="145"/>
      <c r="AM55" s="369"/>
      <c r="AN55" s="369"/>
      <c r="AO55" s="369"/>
    </row>
    <row r="56" spans="1:41" s="18" customFormat="1" ht="23.25" customHeight="1">
      <c r="A56" s="4" t="s">
        <v>990</v>
      </c>
      <c r="B56" s="507" t="s">
        <v>138</v>
      </c>
      <c r="C56" s="418"/>
      <c r="D56" s="418"/>
      <c r="E56" s="417">
        <v>0</v>
      </c>
      <c r="F56" s="417"/>
      <c r="G56" s="446">
        <f t="shared" ref="G56:W56" si="50">SUM(G57:G68)</f>
        <v>11111.35</v>
      </c>
      <c r="H56" s="446">
        <f t="shared" si="50"/>
        <v>10582.2</v>
      </c>
      <c r="I56" s="446">
        <f t="shared" si="50"/>
        <v>529.15</v>
      </c>
      <c r="J56" s="446">
        <f t="shared" si="50"/>
        <v>0</v>
      </c>
      <c r="K56" s="446">
        <f t="shared" si="50"/>
        <v>2417.63</v>
      </c>
      <c r="L56" s="446">
        <f t="shared" si="50"/>
        <v>2289.8800000000006</v>
      </c>
      <c r="M56" s="446">
        <f t="shared" si="50"/>
        <v>127.75</v>
      </c>
      <c r="N56" s="446">
        <f t="shared" si="50"/>
        <v>2417.63</v>
      </c>
      <c r="O56" s="446">
        <f t="shared" si="50"/>
        <v>2289.88</v>
      </c>
      <c r="P56" s="446">
        <f t="shared" si="50"/>
        <v>127.75</v>
      </c>
      <c r="Q56" s="446">
        <f t="shared" si="50"/>
        <v>11111.35</v>
      </c>
      <c r="R56" s="446">
        <f t="shared" si="50"/>
        <v>10582.2</v>
      </c>
      <c r="S56" s="446">
        <f t="shared" si="50"/>
        <v>529.15</v>
      </c>
      <c r="T56" s="446">
        <f t="shared" si="50"/>
        <v>0</v>
      </c>
      <c r="U56" s="446">
        <f t="shared" si="50"/>
        <v>7424.9499999999989</v>
      </c>
      <c r="V56" s="446">
        <f t="shared" si="50"/>
        <v>7041.3200000000006</v>
      </c>
      <c r="W56" s="446">
        <f t="shared" si="50"/>
        <v>383.62999999999994</v>
      </c>
      <c r="X56" s="446">
        <f t="shared" ref="X56:AF56" si="51">SUM(X57:X63)</f>
        <v>2003.6999999999998</v>
      </c>
      <c r="Y56" s="446">
        <f t="shared" si="51"/>
        <v>1908.12</v>
      </c>
      <c r="Z56" s="446">
        <f t="shared" si="51"/>
        <v>95.58</v>
      </c>
      <c r="AA56" s="446">
        <f t="shared" si="51"/>
        <v>2692.35</v>
      </c>
      <c r="AB56" s="446">
        <f t="shared" si="51"/>
        <v>2554.4</v>
      </c>
      <c r="AC56" s="446">
        <f t="shared" si="51"/>
        <v>137.94999999999999</v>
      </c>
      <c r="AD56" s="446">
        <f t="shared" si="51"/>
        <v>1106</v>
      </c>
      <c r="AE56" s="446">
        <f t="shared" si="51"/>
        <v>1045.0999999999999</v>
      </c>
      <c r="AF56" s="446">
        <f t="shared" si="51"/>
        <v>60.9</v>
      </c>
      <c r="AG56" s="446">
        <f>SUM(AG57:AG68)</f>
        <v>3686.41</v>
      </c>
      <c r="AH56" s="446">
        <f>SUM(AH57:AH68)</f>
        <v>3540.83</v>
      </c>
      <c r="AI56" s="446">
        <f>SUM(AI57:AI68)</f>
        <v>145.57999999999998</v>
      </c>
      <c r="AJ56" s="446"/>
      <c r="AK56" s="446">
        <f>SUM(AK57:AK63)</f>
        <v>0</v>
      </c>
      <c r="AL56" s="16"/>
      <c r="AM56" s="371">
        <f>+'NĂM 2022'!K35+'NĂM 2023'!N32+'NĂM 2024'!J33+'NĂM 2025'!J33</f>
        <v>11111.359999999999</v>
      </c>
      <c r="AN56" s="371">
        <f>+'NĂM 2022'!L35+'NĂM 2023'!O32+'NĂM 2024'!K33+'NĂM 2025'!K33</f>
        <v>10582.15</v>
      </c>
      <c r="AO56" s="371">
        <f>+'NĂM 2022'!M35+'NĂM 2023'!P32+'NĂM 2024'!L33+'NĂM 2025'!L33</f>
        <v>529.21</v>
      </c>
    </row>
    <row r="57" spans="1:41" ht="45" hidden="1">
      <c r="A57" s="8">
        <v>1</v>
      </c>
      <c r="B57" s="328" t="s">
        <v>139</v>
      </c>
      <c r="C57" s="8" t="s">
        <v>140</v>
      </c>
      <c r="D57" s="8"/>
      <c r="E57" s="22" t="s">
        <v>141</v>
      </c>
      <c r="F57" s="8" t="s">
        <v>52</v>
      </c>
      <c r="G57" s="445">
        <f>H57+I57</f>
        <v>735</v>
      </c>
      <c r="H57" s="445">
        <v>700</v>
      </c>
      <c r="I57" s="445">
        <v>35</v>
      </c>
      <c r="J57" s="451">
        <v>0</v>
      </c>
      <c r="K57" s="483"/>
      <c r="L57" s="451"/>
      <c r="M57" s="451"/>
      <c r="N57" s="483"/>
      <c r="O57" s="451"/>
      <c r="P57" s="451"/>
      <c r="Q57" s="466">
        <f>+R57+S57</f>
        <v>735</v>
      </c>
      <c r="R57" s="451">
        <v>700</v>
      </c>
      <c r="S57" s="451">
        <v>35</v>
      </c>
      <c r="T57" s="451"/>
      <c r="U57" s="451">
        <f>+V57+W57</f>
        <v>735</v>
      </c>
      <c r="V57" s="451">
        <f>+Y57+AB57+AE57</f>
        <v>700</v>
      </c>
      <c r="W57" s="451">
        <f>+Z57+AC57+AF57</f>
        <v>35</v>
      </c>
      <c r="X57" s="445">
        <f>Y57+Z57</f>
        <v>735</v>
      </c>
      <c r="Y57" s="445">
        <v>700</v>
      </c>
      <c r="Z57" s="445">
        <v>35</v>
      </c>
      <c r="AA57" s="445"/>
      <c r="AB57" s="481"/>
      <c r="AC57" s="481"/>
      <c r="AD57" s="445"/>
      <c r="AE57" s="481"/>
      <c r="AF57" s="481"/>
      <c r="AG57" s="445"/>
      <c r="AH57" s="481"/>
      <c r="AI57" s="481"/>
      <c r="AJ57" s="445"/>
      <c r="AK57" s="451"/>
      <c r="AL57" s="15"/>
      <c r="AM57" s="506">
        <f>+G56-U56</f>
        <v>3686.4000000000015</v>
      </c>
      <c r="AN57" s="506">
        <f>+H56-V56</f>
        <v>3540.88</v>
      </c>
      <c r="AO57" s="506">
        <f>+I56-W56</f>
        <v>145.52000000000004</v>
      </c>
    </row>
    <row r="58" spans="1:41" s="146" customFormat="1" ht="45" hidden="1">
      <c r="A58" s="141">
        <f>+A57+1</f>
        <v>2</v>
      </c>
      <c r="B58" s="325" t="s">
        <v>827</v>
      </c>
      <c r="C58" s="141" t="s">
        <v>140</v>
      </c>
      <c r="D58" s="141"/>
      <c r="E58" s="22" t="s">
        <v>142</v>
      </c>
      <c r="F58" s="141" t="s">
        <v>52</v>
      </c>
      <c r="G58" s="445">
        <f t="shared" si="18"/>
        <v>331.8</v>
      </c>
      <c r="H58" s="445">
        <v>316</v>
      </c>
      <c r="I58" s="445">
        <v>15.8</v>
      </c>
      <c r="J58" s="448">
        <v>0</v>
      </c>
      <c r="K58" s="483"/>
      <c r="L58" s="448"/>
      <c r="M58" s="448"/>
      <c r="N58" s="483"/>
      <c r="O58" s="448"/>
      <c r="P58" s="448"/>
      <c r="Q58" s="466">
        <f t="shared" ref="Q58:Q63" si="52">+R58+S58</f>
        <v>331.8</v>
      </c>
      <c r="R58" s="448">
        <v>316</v>
      </c>
      <c r="S58" s="448">
        <v>15.8</v>
      </c>
      <c r="T58" s="448"/>
      <c r="U58" s="451">
        <f t="shared" ref="U58:U64" si="53">+V58+W58</f>
        <v>331.8</v>
      </c>
      <c r="V58" s="451">
        <f t="shared" ref="V58:W64" si="54">+Y58+AB58+AE58</f>
        <v>316</v>
      </c>
      <c r="W58" s="451">
        <f t="shared" si="54"/>
        <v>15.8</v>
      </c>
      <c r="X58" s="445">
        <f t="shared" si="11"/>
        <v>331.8</v>
      </c>
      <c r="Y58" s="445">
        <v>316</v>
      </c>
      <c r="Z58" s="445">
        <v>15.8</v>
      </c>
      <c r="AA58" s="445"/>
      <c r="AB58" s="481"/>
      <c r="AC58" s="481"/>
      <c r="AD58" s="445"/>
      <c r="AE58" s="481"/>
      <c r="AF58" s="481"/>
      <c r="AG58" s="445"/>
      <c r="AH58" s="481"/>
      <c r="AI58" s="481"/>
      <c r="AJ58" s="445"/>
      <c r="AK58" s="448"/>
      <c r="AL58" s="145"/>
      <c r="AM58" s="471">
        <f>+AM57-AG56</f>
        <v>-9.9999999983992893E-3</v>
      </c>
      <c r="AN58" s="471">
        <f t="shared" ref="AN58:AO58" si="55">+AN57-AH56</f>
        <v>5.0000000000181899E-2</v>
      </c>
      <c r="AO58" s="471">
        <f t="shared" si="55"/>
        <v>-5.999999999994543E-2</v>
      </c>
    </row>
    <row r="59" spans="1:41" ht="30" hidden="1">
      <c r="A59" s="141">
        <f t="shared" ref="A59:A68" si="56">+A58+1</f>
        <v>3</v>
      </c>
      <c r="B59" s="325" t="s">
        <v>143</v>
      </c>
      <c r="C59" s="141" t="s">
        <v>140</v>
      </c>
      <c r="D59" s="8"/>
      <c r="E59" s="8" t="s">
        <v>828</v>
      </c>
      <c r="F59" s="141" t="s">
        <v>52</v>
      </c>
      <c r="G59" s="445">
        <f>H59+I59</f>
        <v>936.89</v>
      </c>
      <c r="H59" s="445">
        <v>892.12</v>
      </c>
      <c r="I59" s="445">
        <v>44.77</v>
      </c>
      <c r="J59" s="451">
        <v>0</v>
      </c>
      <c r="K59" s="483"/>
      <c r="L59" s="451"/>
      <c r="M59" s="451"/>
      <c r="N59" s="483"/>
      <c r="O59" s="451"/>
      <c r="P59" s="451"/>
      <c r="Q59" s="466">
        <f t="shared" si="52"/>
        <v>936.89</v>
      </c>
      <c r="R59" s="451">
        <v>892.12</v>
      </c>
      <c r="S59" s="451">
        <v>44.77</v>
      </c>
      <c r="T59" s="451"/>
      <c r="U59" s="451">
        <f t="shared" si="53"/>
        <v>936.9</v>
      </c>
      <c r="V59" s="451">
        <f t="shared" si="54"/>
        <v>892.12</v>
      </c>
      <c r="W59" s="451">
        <f t="shared" si="54"/>
        <v>44.78</v>
      </c>
      <c r="X59" s="445">
        <f>Y59+Z59</f>
        <v>936.9</v>
      </c>
      <c r="Y59" s="445">
        <v>892.12</v>
      </c>
      <c r="Z59" s="445">
        <v>44.78</v>
      </c>
      <c r="AA59" s="445"/>
      <c r="AB59" s="481"/>
      <c r="AC59" s="481"/>
      <c r="AD59" s="445"/>
      <c r="AE59" s="481"/>
      <c r="AF59" s="481"/>
      <c r="AG59" s="445"/>
      <c r="AH59" s="481"/>
      <c r="AI59" s="481"/>
      <c r="AJ59" s="445"/>
      <c r="AK59" s="451"/>
      <c r="AL59" s="15"/>
    </row>
    <row r="60" spans="1:41" s="146" customFormat="1" ht="30" hidden="1">
      <c r="A60" s="141">
        <f t="shared" si="56"/>
        <v>4</v>
      </c>
      <c r="B60" s="325" t="s">
        <v>825</v>
      </c>
      <c r="C60" s="141" t="s">
        <v>144</v>
      </c>
      <c r="D60" s="141"/>
      <c r="E60" s="141" t="s">
        <v>826</v>
      </c>
      <c r="F60" s="141" t="s">
        <v>53</v>
      </c>
      <c r="G60" s="447">
        <f>H60+I60</f>
        <v>3000.85</v>
      </c>
      <c r="H60" s="445">
        <v>2858</v>
      </c>
      <c r="I60" s="445">
        <v>142.85</v>
      </c>
      <c r="J60" s="448">
        <v>0</v>
      </c>
      <c r="K60" s="483">
        <f>+L60+M60</f>
        <v>2308.75</v>
      </c>
      <c r="L60" s="448">
        <f>+H60-R60</f>
        <v>2208.6</v>
      </c>
      <c r="M60" s="448">
        <f>+I60-S60</f>
        <v>100.14999999999999</v>
      </c>
      <c r="N60" s="483"/>
      <c r="O60" s="448"/>
      <c r="P60" s="448"/>
      <c r="Q60" s="466">
        <f t="shared" si="52"/>
        <v>692.1</v>
      </c>
      <c r="R60" s="448">
        <v>649.4</v>
      </c>
      <c r="S60" s="448">
        <v>42.7</v>
      </c>
      <c r="T60" s="448"/>
      <c r="U60" s="451">
        <f t="shared" si="53"/>
        <v>692.1</v>
      </c>
      <c r="V60" s="451">
        <f t="shared" si="54"/>
        <v>649.4</v>
      </c>
      <c r="W60" s="451">
        <f t="shared" si="54"/>
        <v>42.7</v>
      </c>
      <c r="X60" s="445">
        <f t="shared" si="11"/>
        <v>0</v>
      </c>
      <c r="Y60" s="448"/>
      <c r="Z60" s="448"/>
      <c r="AA60" s="448">
        <f>+AB60+AC60</f>
        <v>692.1</v>
      </c>
      <c r="AB60" s="483">
        <v>649.4</v>
      </c>
      <c r="AC60" s="483">
        <v>42.7</v>
      </c>
      <c r="AD60" s="448"/>
      <c r="AE60" s="483"/>
      <c r="AF60" s="483"/>
      <c r="AG60" s="448"/>
      <c r="AH60" s="483"/>
      <c r="AI60" s="483"/>
      <c r="AJ60" s="448"/>
      <c r="AK60" s="448"/>
      <c r="AL60" s="145"/>
      <c r="AM60" s="369"/>
      <c r="AN60" s="369"/>
      <c r="AO60" s="369"/>
    </row>
    <row r="61" spans="1:41" s="146" customFormat="1" ht="60" hidden="1">
      <c r="A61" s="141">
        <f t="shared" si="56"/>
        <v>5</v>
      </c>
      <c r="B61" s="325" t="s">
        <v>904</v>
      </c>
      <c r="C61" s="141" t="s">
        <v>140</v>
      </c>
      <c r="D61" s="141"/>
      <c r="E61" s="150" t="s">
        <v>905</v>
      </c>
      <c r="F61" s="141" t="s">
        <v>53</v>
      </c>
      <c r="G61" s="447">
        <f t="shared" si="18"/>
        <v>2000.25</v>
      </c>
      <c r="H61" s="445">
        <v>1905</v>
      </c>
      <c r="I61" s="445">
        <v>95.25</v>
      </c>
      <c r="J61" s="448">
        <v>0</v>
      </c>
      <c r="K61" s="483">
        <f>+L61+M61</f>
        <v>0</v>
      </c>
      <c r="L61" s="448">
        <f t="shared" ref="L61:M64" si="57">+H61-R61</f>
        <v>0</v>
      </c>
      <c r="M61" s="448">
        <f t="shared" si="57"/>
        <v>0</v>
      </c>
      <c r="N61" s="483"/>
      <c r="O61" s="448"/>
      <c r="P61" s="448"/>
      <c r="Q61" s="466">
        <f t="shared" si="52"/>
        <v>2000.25</v>
      </c>
      <c r="R61" s="448">
        <v>1905</v>
      </c>
      <c r="S61" s="448">
        <v>95.25</v>
      </c>
      <c r="T61" s="448"/>
      <c r="U61" s="451">
        <f t="shared" si="53"/>
        <v>2000.25</v>
      </c>
      <c r="V61" s="451">
        <f t="shared" si="54"/>
        <v>1905</v>
      </c>
      <c r="W61" s="451">
        <f t="shared" si="54"/>
        <v>95.25</v>
      </c>
      <c r="X61" s="445">
        <f t="shared" si="11"/>
        <v>0</v>
      </c>
      <c r="Y61" s="448"/>
      <c r="Z61" s="448"/>
      <c r="AA61" s="448">
        <f>+AB61+AC61</f>
        <v>2000.25</v>
      </c>
      <c r="AB61" s="483">
        <v>1905</v>
      </c>
      <c r="AC61" s="483">
        <v>95.25</v>
      </c>
      <c r="AD61" s="448"/>
      <c r="AE61" s="483"/>
      <c r="AF61" s="483"/>
      <c r="AG61" s="448"/>
      <c r="AH61" s="483"/>
      <c r="AI61" s="483"/>
      <c r="AJ61" s="448"/>
      <c r="AK61" s="448"/>
      <c r="AL61" s="145"/>
      <c r="AM61" s="369"/>
      <c r="AN61" s="369"/>
      <c r="AO61" s="369"/>
    </row>
    <row r="62" spans="1:41" ht="54" hidden="1" customHeight="1">
      <c r="A62" s="141">
        <f t="shared" si="56"/>
        <v>6</v>
      </c>
      <c r="B62" s="325" t="s">
        <v>908</v>
      </c>
      <c r="C62" s="141" t="s">
        <v>145</v>
      </c>
      <c r="D62" s="8"/>
      <c r="E62" s="22" t="s">
        <v>142</v>
      </c>
      <c r="F62" s="8" t="s">
        <v>54</v>
      </c>
      <c r="G62" s="445">
        <f t="shared" si="18"/>
        <v>599.51</v>
      </c>
      <c r="H62" s="445">
        <v>571.03</v>
      </c>
      <c r="I62" s="445">
        <v>28.48</v>
      </c>
      <c r="J62" s="451">
        <v>0</v>
      </c>
      <c r="K62" s="483">
        <f>+L62+M62</f>
        <v>4.5299999999999727</v>
      </c>
      <c r="L62" s="448">
        <f t="shared" si="57"/>
        <v>4.5299999999999727</v>
      </c>
      <c r="M62" s="448"/>
      <c r="N62" s="483">
        <f>+O62+P62</f>
        <v>4.5199999999999996</v>
      </c>
      <c r="O62" s="451"/>
      <c r="P62" s="451">
        <f>+S62-I62</f>
        <v>4.5199999999999996</v>
      </c>
      <c r="Q62" s="466">
        <f t="shared" si="52"/>
        <v>599.5</v>
      </c>
      <c r="R62" s="451">
        <v>566.5</v>
      </c>
      <c r="S62" s="451">
        <v>33</v>
      </c>
      <c r="T62" s="451"/>
      <c r="U62" s="451">
        <f t="shared" si="53"/>
        <v>599.5</v>
      </c>
      <c r="V62" s="451">
        <f t="shared" si="54"/>
        <v>566.5</v>
      </c>
      <c r="W62" s="451">
        <f t="shared" si="54"/>
        <v>33</v>
      </c>
      <c r="X62" s="445">
        <f t="shared" si="11"/>
        <v>0</v>
      </c>
      <c r="Y62" s="451"/>
      <c r="Z62" s="451"/>
      <c r="AA62" s="451"/>
      <c r="AB62" s="483"/>
      <c r="AC62" s="483"/>
      <c r="AD62" s="448">
        <f t="shared" ref="AD62:AD63" si="58">+AE62+AF62</f>
        <v>599.5</v>
      </c>
      <c r="AE62" s="483">
        <v>566.5</v>
      </c>
      <c r="AF62" s="483">
        <v>33</v>
      </c>
      <c r="AG62" s="451"/>
      <c r="AH62" s="483"/>
      <c r="AI62" s="483"/>
      <c r="AJ62" s="451"/>
      <c r="AK62" s="451"/>
      <c r="AL62" s="15"/>
    </row>
    <row r="63" spans="1:41" ht="45" hidden="1">
      <c r="A63" s="141">
        <f t="shared" si="56"/>
        <v>7</v>
      </c>
      <c r="B63" s="328" t="s">
        <v>146</v>
      </c>
      <c r="C63" s="8" t="s">
        <v>145</v>
      </c>
      <c r="D63" s="8"/>
      <c r="E63" s="22" t="s">
        <v>142</v>
      </c>
      <c r="F63" s="8" t="s">
        <v>54</v>
      </c>
      <c r="G63" s="445">
        <f t="shared" si="18"/>
        <v>506.1</v>
      </c>
      <c r="H63" s="445">
        <v>482</v>
      </c>
      <c r="I63" s="445">
        <v>24.1</v>
      </c>
      <c r="J63" s="451">
        <v>0</v>
      </c>
      <c r="K63" s="483">
        <f>+L63+M63</f>
        <v>3.3999999999999773</v>
      </c>
      <c r="L63" s="448">
        <f t="shared" si="57"/>
        <v>3.3999999999999773</v>
      </c>
      <c r="M63" s="448"/>
      <c r="N63" s="483">
        <f>+O63+P63</f>
        <v>3.7999999999999972</v>
      </c>
      <c r="O63" s="451"/>
      <c r="P63" s="451">
        <f>+S63-I63</f>
        <v>3.7999999999999972</v>
      </c>
      <c r="Q63" s="466">
        <f t="shared" si="52"/>
        <v>506.5</v>
      </c>
      <c r="R63" s="451">
        <v>478.6</v>
      </c>
      <c r="S63" s="451">
        <v>27.9</v>
      </c>
      <c r="T63" s="451"/>
      <c r="U63" s="451">
        <f t="shared" si="53"/>
        <v>506.5</v>
      </c>
      <c r="V63" s="451">
        <f t="shared" si="54"/>
        <v>478.6</v>
      </c>
      <c r="W63" s="451">
        <f t="shared" si="54"/>
        <v>27.9</v>
      </c>
      <c r="X63" s="445">
        <f t="shared" si="11"/>
        <v>0</v>
      </c>
      <c r="Y63" s="451"/>
      <c r="Z63" s="451"/>
      <c r="AA63" s="451"/>
      <c r="AB63" s="483"/>
      <c r="AC63" s="483"/>
      <c r="AD63" s="448">
        <f t="shared" si="58"/>
        <v>506.5</v>
      </c>
      <c r="AE63" s="483">
        <v>478.6</v>
      </c>
      <c r="AF63" s="483">
        <v>27.9</v>
      </c>
      <c r="AG63" s="451"/>
      <c r="AH63" s="483"/>
      <c r="AI63" s="483"/>
      <c r="AJ63" s="451"/>
      <c r="AK63" s="451"/>
      <c r="AL63" s="15"/>
    </row>
    <row r="64" spans="1:41" ht="60" hidden="1">
      <c r="A64" s="141">
        <f t="shared" si="56"/>
        <v>8</v>
      </c>
      <c r="B64" s="328" t="s">
        <v>1137</v>
      </c>
      <c r="C64" s="8" t="s">
        <v>138</v>
      </c>
      <c r="D64" s="8"/>
      <c r="E64" s="22"/>
      <c r="F64" s="8" t="s">
        <v>1170</v>
      </c>
      <c r="G64" s="447">
        <f>H64+I64</f>
        <v>3000.9500000000003</v>
      </c>
      <c r="H64" s="447">
        <v>2858.05</v>
      </c>
      <c r="I64" s="447">
        <v>142.9</v>
      </c>
      <c r="J64" s="448">
        <v>0</v>
      </c>
      <c r="K64" s="483">
        <f>+L64+M64</f>
        <v>100.95000000000037</v>
      </c>
      <c r="L64" s="448">
        <f t="shared" si="57"/>
        <v>73.350000000000364</v>
      </c>
      <c r="M64" s="448">
        <f t="shared" si="57"/>
        <v>27.600000000000009</v>
      </c>
      <c r="N64" s="483">
        <f>+O64+P64</f>
        <v>0</v>
      </c>
      <c r="O64" s="451"/>
      <c r="P64" s="451"/>
      <c r="Q64" s="451">
        <f>+R64+S64</f>
        <v>2900</v>
      </c>
      <c r="R64" s="483">
        <v>2784.7</v>
      </c>
      <c r="S64" s="483">
        <v>115.3</v>
      </c>
      <c r="T64" s="544" t="s">
        <v>1169</v>
      </c>
      <c r="U64" s="451">
        <f t="shared" si="53"/>
        <v>1622.9</v>
      </c>
      <c r="V64" s="451">
        <f t="shared" si="54"/>
        <v>1533.7</v>
      </c>
      <c r="W64" s="451">
        <f t="shared" si="54"/>
        <v>89.2</v>
      </c>
      <c r="X64" s="445"/>
      <c r="Y64" s="451"/>
      <c r="Z64" s="451"/>
      <c r="AA64" s="451"/>
      <c r="AB64" s="483"/>
      <c r="AC64" s="483"/>
      <c r="AD64" s="448">
        <f>+AE64+AF64</f>
        <v>1622.9</v>
      </c>
      <c r="AE64" s="483">
        <v>1533.7</v>
      </c>
      <c r="AF64" s="483">
        <v>89.2</v>
      </c>
      <c r="AG64" s="451">
        <f t="shared" ref="AG64:AG68" si="59">+AH64+AI64</f>
        <v>1277.0999999999997</v>
      </c>
      <c r="AH64" s="483">
        <f>2784.7-1533.7</f>
        <v>1250.9999999999998</v>
      </c>
      <c r="AI64" s="483">
        <f>115.3-89.2</f>
        <v>26.099999999999994</v>
      </c>
      <c r="AJ64" s="451"/>
      <c r="AK64" s="451"/>
      <c r="AL64" s="451"/>
    </row>
    <row r="65" spans="1:41" ht="60" hidden="1">
      <c r="A65" s="141">
        <f t="shared" si="56"/>
        <v>9</v>
      </c>
      <c r="B65" s="328" t="s">
        <v>1136</v>
      </c>
      <c r="C65" s="8" t="s">
        <v>138</v>
      </c>
      <c r="D65" s="8"/>
      <c r="E65" s="22"/>
      <c r="F65" s="8" t="s">
        <v>55</v>
      </c>
      <c r="G65" s="445"/>
      <c r="H65" s="445"/>
      <c r="I65" s="445"/>
      <c r="J65" s="451"/>
      <c r="K65" s="483"/>
      <c r="L65" s="451"/>
      <c r="M65" s="451"/>
      <c r="N65" s="451">
        <f>+O65+P65</f>
        <v>1249.5600000000002</v>
      </c>
      <c r="O65" s="483">
        <v>1187.1300000000001</v>
      </c>
      <c r="P65" s="483">
        <v>62.43</v>
      </c>
      <c r="Q65" s="451">
        <f>+R65+S65</f>
        <v>1249.5600000000002</v>
      </c>
      <c r="R65" s="483">
        <v>1187.1300000000001</v>
      </c>
      <c r="S65" s="483">
        <v>62.43</v>
      </c>
      <c r="T65" s="533" t="s">
        <v>1166</v>
      </c>
      <c r="U65" s="451"/>
      <c r="V65" s="451"/>
      <c r="W65" s="451"/>
      <c r="X65" s="445"/>
      <c r="Y65" s="451"/>
      <c r="Z65" s="451"/>
      <c r="AA65" s="451"/>
      <c r="AB65" s="483"/>
      <c r="AC65" s="483"/>
      <c r="AD65" s="448"/>
      <c r="AE65" s="483"/>
      <c r="AF65" s="483"/>
      <c r="AG65" s="451">
        <f>+AH65+AI65</f>
        <v>1249.6100000000001</v>
      </c>
      <c r="AH65" s="483">
        <v>1187.1300000000001</v>
      </c>
      <c r="AI65" s="483">
        <v>62.48</v>
      </c>
      <c r="AJ65" s="451"/>
      <c r="AK65" s="451"/>
      <c r="AL65" s="451"/>
    </row>
    <row r="66" spans="1:41" ht="45" hidden="1">
      <c r="A66" s="141">
        <f t="shared" si="56"/>
        <v>10</v>
      </c>
      <c r="B66" s="328" t="s">
        <v>1138</v>
      </c>
      <c r="C66" s="8" t="s">
        <v>1141</v>
      </c>
      <c r="D66" s="8"/>
      <c r="E66" s="22"/>
      <c r="F66" s="8" t="s">
        <v>55</v>
      </c>
      <c r="G66" s="445"/>
      <c r="H66" s="445"/>
      <c r="I66" s="445"/>
      <c r="J66" s="451"/>
      <c r="K66" s="483"/>
      <c r="L66" s="451"/>
      <c r="M66" s="451"/>
      <c r="N66" s="451">
        <f t="shared" ref="N66:N68" si="60">+O66+P66</f>
        <v>400</v>
      </c>
      <c r="O66" s="483">
        <v>380</v>
      </c>
      <c r="P66" s="483">
        <v>20</v>
      </c>
      <c r="Q66" s="451">
        <f t="shared" ref="Q66:Q68" si="61">+R66+S66</f>
        <v>400</v>
      </c>
      <c r="R66" s="483">
        <v>380</v>
      </c>
      <c r="S66" s="483">
        <v>20</v>
      </c>
      <c r="T66" s="533" t="s">
        <v>1166</v>
      </c>
      <c r="U66" s="451"/>
      <c r="V66" s="451"/>
      <c r="W66" s="451"/>
      <c r="X66" s="445"/>
      <c r="Y66" s="451"/>
      <c r="Z66" s="451"/>
      <c r="AA66" s="451"/>
      <c r="AB66" s="483"/>
      <c r="AC66" s="483"/>
      <c r="AD66" s="448"/>
      <c r="AE66" s="483"/>
      <c r="AF66" s="483"/>
      <c r="AG66" s="451">
        <f t="shared" si="59"/>
        <v>400</v>
      </c>
      <c r="AH66" s="483">
        <v>380</v>
      </c>
      <c r="AI66" s="483">
        <v>20</v>
      </c>
      <c r="AJ66" s="451"/>
      <c r="AK66" s="451"/>
      <c r="AL66" s="15"/>
    </row>
    <row r="67" spans="1:41" ht="45" hidden="1">
      <c r="A67" s="141">
        <f t="shared" si="56"/>
        <v>11</v>
      </c>
      <c r="B67" s="328" t="s">
        <v>1139</v>
      </c>
      <c r="C67" s="8" t="s">
        <v>145</v>
      </c>
      <c r="D67" s="8"/>
      <c r="E67" s="22"/>
      <c r="F67" s="8" t="s">
        <v>55</v>
      </c>
      <c r="G67" s="445"/>
      <c r="H67" s="445"/>
      <c r="I67" s="445"/>
      <c r="J67" s="451"/>
      <c r="K67" s="483"/>
      <c r="L67" s="451"/>
      <c r="M67" s="451"/>
      <c r="N67" s="451">
        <f t="shared" si="60"/>
        <v>400</v>
      </c>
      <c r="O67" s="483">
        <v>380</v>
      </c>
      <c r="P67" s="483">
        <v>20</v>
      </c>
      <c r="Q67" s="451">
        <f t="shared" si="61"/>
        <v>400</v>
      </c>
      <c r="R67" s="483">
        <v>380</v>
      </c>
      <c r="S67" s="483">
        <v>20</v>
      </c>
      <c r="T67" s="533" t="s">
        <v>1166</v>
      </c>
      <c r="U67" s="451"/>
      <c r="V67" s="451"/>
      <c r="W67" s="451"/>
      <c r="X67" s="445"/>
      <c r="Y67" s="451"/>
      <c r="Z67" s="451"/>
      <c r="AA67" s="451"/>
      <c r="AB67" s="483"/>
      <c r="AC67" s="483"/>
      <c r="AD67" s="448"/>
      <c r="AE67" s="483"/>
      <c r="AF67" s="483"/>
      <c r="AG67" s="451">
        <f t="shared" si="59"/>
        <v>400</v>
      </c>
      <c r="AH67" s="483">
        <v>380</v>
      </c>
      <c r="AI67" s="483">
        <v>20</v>
      </c>
      <c r="AJ67" s="451"/>
      <c r="AK67" s="451"/>
      <c r="AL67" s="15"/>
    </row>
    <row r="68" spans="1:41" ht="45" hidden="1">
      <c r="A68" s="141">
        <f t="shared" si="56"/>
        <v>12</v>
      </c>
      <c r="B68" s="328" t="s">
        <v>1140</v>
      </c>
      <c r="C68" s="8" t="s">
        <v>140</v>
      </c>
      <c r="D68" s="8"/>
      <c r="E68" s="22"/>
      <c r="F68" s="8" t="s">
        <v>55</v>
      </c>
      <c r="G68" s="445"/>
      <c r="H68" s="445"/>
      <c r="I68" s="445"/>
      <c r="J68" s="451"/>
      <c r="K68" s="483"/>
      <c r="L68" s="451"/>
      <c r="M68" s="451"/>
      <c r="N68" s="451">
        <f t="shared" si="60"/>
        <v>359.75</v>
      </c>
      <c r="O68" s="483">
        <v>342.75</v>
      </c>
      <c r="P68" s="483">
        <v>17</v>
      </c>
      <c r="Q68" s="451">
        <f t="shared" si="61"/>
        <v>359.75</v>
      </c>
      <c r="R68" s="483">
        <v>342.75</v>
      </c>
      <c r="S68" s="483">
        <v>17</v>
      </c>
      <c r="T68" s="533" t="s">
        <v>1166</v>
      </c>
      <c r="U68" s="451"/>
      <c r="V68" s="451"/>
      <c r="W68" s="451"/>
      <c r="X68" s="445"/>
      <c r="Y68" s="451"/>
      <c r="Z68" s="451"/>
      <c r="AA68" s="451"/>
      <c r="AB68" s="483"/>
      <c r="AC68" s="483"/>
      <c r="AD68" s="448"/>
      <c r="AE68" s="483"/>
      <c r="AF68" s="483"/>
      <c r="AG68" s="451">
        <f t="shared" si="59"/>
        <v>359.7</v>
      </c>
      <c r="AH68" s="483">
        <v>342.7</v>
      </c>
      <c r="AI68" s="483">
        <v>17</v>
      </c>
      <c r="AJ68" s="451"/>
      <c r="AK68" s="451"/>
      <c r="AL68" s="15"/>
    </row>
    <row r="69" spans="1:41" s="14" customFormat="1" ht="23.25" customHeight="1">
      <c r="A69" s="4" t="s">
        <v>991</v>
      </c>
      <c r="B69" s="507" t="s">
        <v>148</v>
      </c>
      <c r="C69" s="418"/>
      <c r="D69" s="418"/>
      <c r="E69" s="417">
        <v>0</v>
      </c>
      <c r="F69" s="417"/>
      <c r="G69" s="446">
        <f>SUM(G70:G83)</f>
        <v>10103.290000000001</v>
      </c>
      <c r="H69" s="446">
        <f t="shared" ref="H69:T69" si="62">SUM(H70:H83)</f>
        <v>9621.49</v>
      </c>
      <c r="I69" s="446">
        <f t="shared" si="62"/>
        <v>481.8</v>
      </c>
      <c r="J69" s="446">
        <f t="shared" si="62"/>
        <v>0</v>
      </c>
      <c r="K69" s="446">
        <f t="shared" si="62"/>
        <v>659.27559999999994</v>
      </c>
      <c r="L69" s="446">
        <f t="shared" si="62"/>
        <v>642.63559999999995</v>
      </c>
      <c r="M69" s="446">
        <f t="shared" si="62"/>
        <v>16.64</v>
      </c>
      <c r="N69" s="446">
        <f t="shared" si="62"/>
        <v>659.27559999999994</v>
      </c>
      <c r="O69" s="446">
        <f t="shared" si="62"/>
        <v>642.63559999999995</v>
      </c>
      <c r="P69" s="446">
        <f t="shared" si="62"/>
        <v>16.64</v>
      </c>
      <c r="Q69" s="446">
        <f t="shared" si="62"/>
        <v>10103.290000000001</v>
      </c>
      <c r="R69" s="446">
        <f t="shared" si="62"/>
        <v>9621.49</v>
      </c>
      <c r="S69" s="446">
        <f t="shared" si="62"/>
        <v>481.8</v>
      </c>
      <c r="T69" s="446">
        <f t="shared" si="62"/>
        <v>0</v>
      </c>
      <c r="U69" s="446">
        <f t="shared" ref="U69:W69" si="63">SUM(U70:U82)</f>
        <v>6720.7143999999998</v>
      </c>
      <c r="V69" s="446">
        <f t="shared" si="63"/>
        <v>6372.0544</v>
      </c>
      <c r="W69" s="446">
        <f t="shared" si="63"/>
        <v>348.66</v>
      </c>
      <c r="X69" s="446">
        <f>SUM(X70:X82)</f>
        <v>1818.69</v>
      </c>
      <c r="Y69" s="446">
        <f>SUM(Y70:Y82)</f>
        <v>1731.69</v>
      </c>
      <c r="Z69" s="446">
        <f>SUM(Z70:Z82)</f>
        <v>87</v>
      </c>
      <c r="AA69" s="446">
        <f t="shared" ref="AA69:AF69" si="64">SUM(AA70:AA82)</f>
        <v>2422.0244000000002</v>
      </c>
      <c r="AB69" s="446">
        <f t="shared" si="64"/>
        <v>2296.6644000000001</v>
      </c>
      <c r="AC69" s="446">
        <f t="shared" si="64"/>
        <v>125.36</v>
      </c>
      <c r="AD69" s="446">
        <f t="shared" si="64"/>
        <v>2480</v>
      </c>
      <c r="AE69" s="446">
        <f t="shared" si="64"/>
        <v>2343.6999999999998</v>
      </c>
      <c r="AF69" s="446">
        <f t="shared" si="64"/>
        <v>136.30000000000001</v>
      </c>
      <c r="AG69" s="446">
        <f>SUM(AG70:AG83)</f>
        <v>3382.5756000000001</v>
      </c>
      <c r="AH69" s="446">
        <f t="shared" ref="AH69:AI69" si="65">SUM(AH70:AH83)</f>
        <v>3249.4356000000002</v>
      </c>
      <c r="AI69" s="446">
        <f t="shared" si="65"/>
        <v>133.13999999999999</v>
      </c>
      <c r="AJ69" s="446"/>
      <c r="AK69" s="446">
        <f>SUM(AK70:AK82)</f>
        <v>0</v>
      </c>
      <c r="AL69" s="16"/>
      <c r="AM69" s="368">
        <f>+'NĂM 2022'!K39+'NĂM 2023'!N35+'NĂM 2024'!J36+'NĂM 2025'!J35</f>
        <v>10103.240000000002</v>
      </c>
      <c r="AN69" s="368">
        <f>+'NĂM 2022'!L39+'NĂM 2023'!O35+'NĂM 2024'!K36+'NĂM 2025'!K35</f>
        <v>9621.4900000000016</v>
      </c>
      <c r="AO69" s="368">
        <f>+'NĂM 2022'!M39+'NĂM 2023'!P35+'NĂM 2024'!L36+'NĂM 2025'!L35</f>
        <v>481.75</v>
      </c>
    </row>
    <row r="70" spans="1:41" ht="75" hidden="1">
      <c r="A70" s="21">
        <v>1</v>
      </c>
      <c r="B70" s="329" t="s">
        <v>149</v>
      </c>
      <c r="C70" s="21" t="s">
        <v>150</v>
      </c>
      <c r="D70" s="21"/>
      <c r="E70" s="21" t="s">
        <v>151</v>
      </c>
      <c r="F70" s="21" t="s">
        <v>52</v>
      </c>
      <c r="G70" s="445">
        <f t="shared" si="18"/>
        <v>998</v>
      </c>
      <c r="H70" s="445">
        <v>950</v>
      </c>
      <c r="I70" s="445">
        <v>48</v>
      </c>
      <c r="J70" s="451"/>
      <c r="K70" s="483">
        <f>+G70-Q70</f>
        <v>0</v>
      </c>
      <c r="L70" s="451"/>
      <c r="M70" s="451"/>
      <c r="N70" s="483"/>
      <c r="O70" s="451"/>
      <c r="P70" s="451"/>
      <c r="Q70" s="466">
        <f>+R70+S70</f>
        <v>998</v>
      </c>
      <c r="R70" s="451">
        <v>950</v>
      </c>
      <c r="S70" s="451">
        <v>48</v>
      </c>
      <c r="T70" s="451"/>
      <c r="U70" s="451">
        <f>+V70+W70</f>
        <v>998</v>
      </c>
      <c r="V70" s="451">
        <f>+Y70+AB70+AE70</f>
        <v>950</v>
      </c>
      <c r="W70" s="451">
        <f>+Z70+AC70+AF70</f>
        <v>48</v>
      </c>
      <c r="X70" s="445">
        <f t="shared" si="11"/>
        <v>998</v>
      </c>
      <c r="Y70" s="445">
        <v>950</v>
      </c>
      <c r="Z70" s="445">
        <v>48</v>
      </c>
      <c r="AA70" s="445"/>
      <c r="AB70" s="481"/>
      <c r="AC70" s="481"/>
      <c r="AD70" s="445"/>
      <c r="AE70" s="481"/>
      <c r="AF70" s="481"/>
      <c r="AG70" s="445"/>
      <c r="AH70" s="481"/>
      <c r="AI70" s="481"/>
      <c r="AJ70" s="445"/>
      <c r="AK70" s="451"/>
      <c r="AL70" s="15"/>
      <c r="AM70" s="506">
        <f>+G69-U69</f>
        <v>3382.575600000001</v>
      </c>
      <c r="AN70" s="506">
        <f>+H69-V69</f>
        <v>3249.4355999999998</v>
      </c>
      <c r="AO70" s="506">
        <f>+I69-W69</f>
        <v>133.13999999999999</v>
      </c>
    </row>
    <row r="71" spans="1:41" ht="45" hidden="1">
      <c r="A71" s="21">
        <f>+A70+1</f>
        <v>2</v>
      </c>
      <c r="B71" s="329" t="s">
        <v>152</v>
      </c>
      <c r="C71" s="21" t="s">
        <v>153</v>
      </c>
      <c r="D71" s="21"/>
      <c r="E71" s="21" t="s">
        <v>154</v>
      </c>
      <c r="F71" s="21" t="s">
        <v>52</v>
      </c>
      <c r="G71" s="445">
        <f t="shared" si="18"/>
        <v>820.69</v>
      </c>
      <c r="H71" s="445">
        <v>781.69</v>
      </c>
      <c r="I71" s="445">
        <v>39</v>
      </c>
      <c r="J71" s="451"/>
      <c r="K71" s="483">
        <f t="shared" ref="K71:K82" si="66">+G71-Q71</f>
        <v>0</v>
      </c>
      <c r="L71" s="451"/>
      <c r="M71" s="451"/>
      <c r="N71" s="483"/>
      <c r="O71" s="451"/>
      <c r="P71" s="451"/>
      <c r="Q71" s="466">
        <f t="shared" ref="Q71:Q79" si="67">+R71+S71</f>
        <v>820.69</v>
      </c>
      <c r="R71" s="451">
        <v>781.69</v>
      </c>
      <c r="S71" s="451">
        <v>39</v>
      </c>
      <c r="T71" s="451"/>
      <c r="U71" s="451">
        <f t="shared" ref="U71:U82" si="68">+V71+W71</f>
        <v>820.69</v>
      </c>
      <c r="V71" s="451">
        <f t="shared" ref="V71:W82" si="69">+Y71+AB71+AE71</f>
        <v>781.69</v>
      </c>
      <c r="W71" s="451">
        <f t="shared" si="69"/>
        <v>39</v>
      </c>
      <c r="X71" s="445">
        <f t="shared" si="11"/>
        <v>820.69</v>
      </c>
      <c r="Y71" s="445">
        <v>781.69</v>
      </c>
      <c r="Z71" s="445">
        <v>39</v>
      </c>
      <c r="AA71" s="445"/>
      <c r="AB71" s="481"/>
      <c r="AC71" s="481"/>
      <c r="AD71" s="445"/>
      <c r="AE71" s="481"/>
      <c r="AF71" s="481"/>
      <c r="AG71" s="445"/>
      <c r="AH71" s="481"/>
      <c r="AI71" s="481"/>
      <c r="AJ71" s="445"/>
      <c r="AK71" s="451"/>
      <c r="AL71" s="15"/>
      <c r="AM71" s="515">
        <f>+AM70-AG69</f>
        <v>0</v>
      </c>
      <c r="AN71" s="515">
        <f t="shared" ref="AN71:AO71" si="70">+AN70-AH69</f>
        <v>0</v>
      </c>
      <c r="AO71" s="506">
        <f t="shared" si="70"/>
        <v>0</v>
      </c>
    </row>
    <row r="72" spans="1:41" ht="75" hidden="1">
      <c r="A72" s="21">
        <f t="shared" ref="A72:A83" si="71">+A71+1</f>
        <v>3</v>
      </c>
      <c r="B72" s="329" t="s">
        <v>155</v>
      </c>
      <c r="C72" s="21" t="s">
        <v>156</v>
      </c>
      <c r="D72" s="21"/>
      <c r="E72" s="21" t="s">
        <v>151</v>
      </c>
      <c r="F72" s="21" t="s">
        <v>53</v>
      </c>
      <c r="G72" s="445">
        <f t="shared" si="18"/>
        <v>998</v>
      </c>
      <c r="H72" s="445">
        <v>950</v>
      </c>
      <c r="I72" s="445">
        <v>48</v>
      </c>
      <c r="J72" s="451"/>
      <c r="K72" s="483">
        <f>+L72+M72</f>
        <v>182</v>
      </c>
      <c r="L72" s="451">
        <f>+H72-R72</f>
        <v>176</v>
      </c>
      <c r="M72" s="451">
        <f>+I72-S72</f>
        <v>6</v>
      </c>
      <c r="N72" s="483"/>
      <c r="O72" s="451"/>
      <c r="P72" s="451"/>
      <c r="Q72" s="466">
        <f t="shared" si="67"/>
        <v>816</v>
      </c>
      <c r="R72" s="451">
        <v>774</v>
      </c>
      <c r="S72" s="451">
        <v>42</v>
      </c>
      <c r="T72" s="451"/>
      <c r="U72" s="451">
        <f t="shared" si="68"/>
        <v>816</v>
      </c>
      <c r="V72" s="451">
        <f t="shared" si="69"/>
        <v>774</v>
      </c>
      <c r="W72" s="451">
        <f t="shared" si="69"/>
        <v>42</v>
      </c>
      <c r="X72" s="445">
        <f t="shared" si="11"/>
        <v>0</v>
      </c>
      <c r="Y72" s="451"/>
      <c r="Z72" s="451"/>
      <c r="AA72" s="451">
        <f>+AB72+AC72</f>
        <v>816</v>
      </c>
      <c r="AB72" s="483">
        <v>774</v>
      </c>
      <c r="AC72" s="483">
        <v>42</v>
      </c>
      <c r="AD72" s="451"/>
      <c r="AE72" s="483"/>
      <c r="AF72" s="483"/>
      <c r="AG72" s="451"/>
      <c r="AH72" s="483"/>
      <c r="AI72" s="483"/>
      <c r="AJ72" s="451"/>
      <c r="AK72" s="451"/>
      <c r="AL72" s="15"/>
      <c r="AM72" s="513">
        <f>+AM70-AG80-AG81-AG82</f>
        <v>648.77560000000108</v>
      </c>
      <c r="AN72" s="513">
        <f t="shared" ref="AN72:AO72" si="72">+AN70-AH80-AH81-AH82</f>
        <v>642.63559999999984</v>
      </c>
      <c r="AO72" s="513">
        <f t="shared" si="72"/>
        <v>6.1399999999999864</v>
      </c>
    </row>
    <row r="73" spans="1:41" ht="75" hidden="1">
      <c r="A73" s="21">
        <f t="shared" si="71"/>
        <v>4</v>
      </c>
      <c r="B73" s="329" t="s">
        <v>157</v>
      </c>
      <c r="C73" s="21" t="s">
        <v>158</v>
      </c>
      <c r="D73" s="21"/>
      <c r="E73" s="8" t="s">
        <v>159</v>
      </c>
      <c r="F73" s="21" t="s">
        <v>53</v>
      </c>
      <c r="G73" s="445">
        <f t="shared" si="18"/>
        <v>499</v>
      </c>
      <c r="H73" s="445">
        <v>475</v>
      </c>
      <c r="I73" s="445">
        <v>24</v>
      </c>
      <c r="J73" s="451">
        <v>0</v>
      </c>
      <c r="K73" s="483">
        <f t="shared" ref="K73:K76" si="73">+L73+M73</f>
        <v>91</v>
      </c>
      <c r="L73" s="451">
        <f t="shared" ref="L73:M76" si="74">+H73-R73</f>
        <v>88</v>
      </c>
      <c r="M73" s="451">
        <f t="shared" si="74"/>
        <v>3</v>
      </c>
      <c r="N73" s="483"/>
      <c r="O73" s="451"/>
      <c r="P73" s="451"/>
      <c r="Q73" s="466">
        <f t="shared" si="67"/>
        <v>408</v>
      </c>
      <c r="R73" s="451">
        <v>387</v>
      </c>
      <c r="S73" s="451">
        <v>21</v>
      </c>
      <c r="T73" s="451"/>
      <c r="U73" s="451">
        <f t="shared" si="68"/>
        <v>408</v>
      </c>
      <c r="V73" s="451">
        <f t="shared" si="69"/>
        <v>387</v>
      </c>
      <c r="W73" s="451">
        <f t="shared" si="69"/>
        <v>21</v>
      </c>
      <c r="X73" s="445">
        <f t="shared" si="11"/>
        <v>0</v>
      </c>
      <c r="Y73" s="451"/>
      <c r="Z73" s="451"/>
      <c r="AA73" s="451">
        <f t="shared" ref="AA73:AA75" si="75">+AB73+AC73</f>
        <v>408</v>
      </c>
      <c r="AB73" s="483">
        <v>387</v>
      </c>
      <c r="AC73" s="483">
        <v>21</v>
      </c>
      <c r="AD73" s="451"/>
      <c r="AE73" s="483"/>
      <c r="AF73" s="483"/>
      <c r="AG73" s="451"/>
      <c r="AH73" s="483"/>
      <c r="AI73" s="483"/>
      <c r="AJ73" s="451"/>
      <c r="AK73" s="451"/>
      <c r="AL73" s="15"/>
    </row>
    <row r="74" spans="1:41" ht="30" hidden="1">
      <c r="A74" s="21">
        <f t="shared" si="71"/>
        <v>5</v>
      </c>
      <c r="B74" s="329" t="s">
        <v>160</v>
      </c>
      <c r="C74" s="21" t="s">
        <v>161</v>
      </c>
      <c r="D74" s="21"/>
      <c r="E74" s="21" t="s">
        <v>162</v>
      </c>
      <c r="F74" s="21" t="s">
        <v>53</v>
      </c>
      <c r="G74" s="445">
        <f t="shared" si="18"/>
        <v>996</v>
      </c>
      <c r="H74" s="445">
        <v>950</v>
      </c>
      <c r="I74" s="445">
        <v>46</v>
      </c>
      <c r="J74" s="451">
        <v>0</v>
      </c>
      <c r="K74" s="483">
        <f t="shared" si="73"/>
        <v>206.8356</v>
      </c>
      <c r="L74" s="451">
        <f t="shared" si="74"/>
        <v>200.8356</v>
      </c>
      <c r="M74" s="451">
        <f t="shared" si="74"/>
        <v>6</v>
      </c>
      <c r="N74" s="483"/>
      <c r="O74" s="451"/>
      <c r="P74" s="451"/>
      <c r="Q74" s="466">
        <f t="shared" si="67"/>
        <v>789.1644</v>
      </c>
      <c r="R74" s="451">
        <v>749.1644</v>
      </c>
      <c r="S74" s="451">
        <v>40</v>
      </c>
      <c r="T74" s="451"/>
      <c r="U74" s="451">
        <f t="shared" si="68"/>
        <v>789.1644</v>
      </c>
      <c r="V74" s="451">
        <f t="shared" si="69"/>
        <v>749.1644</v>
      </c>
      <c r="W74" s="451">
        <f t="shared" si="69"/>
        <v>40</v>
      </c>
      <c r="X74" s="445">
        <f t="shared" si="11"/>
        <v>0</v>
      </c>
      <c r="Y74" s="451"/>
      <c r="Z74" s="451"/>
      <c r="AA74" s="451">
        <f t="shared" si="75"/>
        <v>789.1644</v>
      </c>
      <c r="AB74" s="483">
        <f>774-24.8356</f>
        <v>749.1644</v>
      </c>
      <c r="AC74" s="483">
        <v>40</v>
      </c>
      <c r="AD74" s="451"/>
      <c r="AE74" s="483"/>
      <c r="AF74" s="483"/>
      <c r="AG74" s="451"/>
      <c r="AH74" s="483"/>
      <c r="AI74" s="483"/>
      <c r="AJ74" s="451"/>
      <c r="AK74" s="451"/>
      <c r="AL74" s="15"/>
    </row>
    <row r="75" spans="1:41" ht="30" hidden="1">
      <c r="A75" s="21">
        <f t="shared" si="71"/>
        <v>6</v>
      </c>
      <c r="B75" s="329" t="s">
        <v>163</v>
      </c>
      <c r="C75" s="21" t="s">
        <v>164</v>
      </c>
      <c r="D75" s="21"/>
      <c r="E75" s="21" t="s">
        <v>165</v>
      </c>
      <c r="F75" s="21" t="s">
        <v>53</v>
      </c>
      <c r="G75" s="445">
        <f t="shared" si="18"/>
        <v>499</v>
      </c>
      <c r="H75" s="445">
        <v>475</v>
      </c>
      <c r="I75" s="445">
        <v>24</v>
      </c>
      <c r="J75" s="451">
        <v>0</v>
      </c>
      <c r="K75" s="483">
        <f t="shared" si="73"/>
        <v>90.14</v>
      </c>
      <c r="L75" s="451">
        <f t="shared" si="74"/>
        <v>88.5</v>
      </c>
      <c r="M75" s="451">
        <f t="shared" si="74"/>
        <v>1.6400000000000006</v>
      </c>
      <c r="N75" s="483"/>
      <c r="O75" s="451"/>
      <c r="P75" s="451"/>
      <c r="Q75" s="466">
        <f t="shared" si="67"/>
        <v>408.86</v>
      </c>
      <c r="R75" s="451">
        <v>386.5</v>
      </c>
      <c r="S75" s="451">
        <v>22.36</v>
      </c>
      <c r="T75" s="451"/>
      <c r="U75" s="451">
        <f t="shared" si="68"/>
        <v>408.86</v>
      </c>
      <c r="V75" s="451">
        <f t="shared" si="69"/>
        <v>386.5</v>
      </c>
      <c r="W75" s="451">
        <f t="shared" si="69"/>
        <v>22.36</v>
      </c>
      <c r="X75" s="445">
        <f t="shared" si="11"/>
        <v>0</v>
      </c>
      <c r="Y75" s="451"/>
      <c r="Z75" s="451"/>
      <c r="AA75" s="451">
        <f t="shared" si="75"/>
        <v>408.86</v>
      </c>
      <c r="AB75" s="483">
        <v>386.5</v>
      </c>
      <c r="AC75" s="483">
        <v>22.36</v>
      </c>
      <c r="AD75" s="451"/>
      <c r="AE75" s="483"/>
      <c r="AF75" s="483"/>
      <c r="AG75" s="451"/>
      <c r="AH75" s="483"/>
      <c r="AI75" s="483"/>
      <c r="AJ75" s="451"/>
      <c r="AK75" s="451"/>
      <c r="AL75" s="15"/>
    </row>
    <row r="76" spans="1:41" ht="30" hidden="1">
      <c r="A76" s="21">
        <f t="shared" si="71"/>
        <v>7</v>
      </c>
      <c r="B76" s="329" t="s">
        <v>169</v>
      </c>
      <c r="C76" s="21" t="s">
        <v>170</v>
      </c>
      <c r="D76" s="21"/>
      <c r="E76" s="21" t="s">
        <v>171</v>
      </c>
      <c r="F76" s="21" t="s">
        <v>54</v>
      </c>
      <c r="G76" s="445">
        <f t="shared" si="18"/>
        <v>706</v>
      </c>
      <c r="H76" s="445">
        <v>672</v>
      </c>
      <c r="I76" s="445">
        <v>34</v>
      </c>
      <c r="J76" s="451">
        <v>0</v>
      </c>
      <c r="K76" s="483">
        <f t="shared" si="73"/>
        <v>89.299999999999955</v>
      </c>
      <c r="L76" s="451">
        <f t="shared" si="74"/>
        <v>89.299999999999955</v>
      </c>
      <c r="M76" s="451"/>
      <c r="N76" s="483">
        <f>+O76+P76</f>
        <v>10.5</v>
      </c>
      <c r="O76" s="451"/>
      <c r="P76" s="451">
        <f>+S76-I76</f>
        <v>10.5</v>
      </c>
      <c r="Q76" s="466">
        <f t="shared" si="67"/>
        <v>627.20000000000005</v>
      </c>
      <c r="R76" s="451">
        <v>582.70000000000005</v>
      </c>
      <c r="S76" s="451">
        <v>44.5</v>
      </c>
      <c r="T76" s="451"/>
      <c r="U76" s="451">
        <f t="shared" si="68"/>
        <v>627.20000000000005</v>
      </c>
      <c r="V76" s="451">
        <f t="shared" si="69"/>
        <v>582.70000000000005</v>
      </c>
      <c r="W76" s="451">
        <f t="shared" si="69"/>
        <v>44.5</v>
      </c>
      <c r="X76" s="445">
        <f t="shared" si="11"/>
        <v>0</v>
      </c>
      <c r="Y76" s="451"/>
      <c r="Z76" s="451"/>
      <c r="AA76" s="451"/>
      <c r="AB76" s="483"/>
      <c r="AC76" s="483"/>
      <c r="AD76" s="451">
        <f t="shared" ref="AD76:AD79" si="76">+AE76+AF76</f>
        <v>627.20000000000005</v>
      </c>
      <c r="AE76" s="483">
        <v>582.70000000000005</v>
      </c>
      <c r="AF76" s="483">
        <v>44.5</v>
      </c>
      <c r="AG76" s="451"/>
      <c r="AH76" s="483"/>
      <c r="AI76" s="483"/>
      <c r="AJ76" s="451"/>
      <c r="AK76" s="451"/>
      <c r="AL76" s="15"/>
    </row>
    <row r="77" spans="1:41" s="504" customFormat="1" ht="60" hidden="1">
      <c r="A77" s="21">
        <f t="shared" si="71"/>
        <v>8</v>
      </c>
      <c r="B77" s="500" t="s">
        <v>1125</v>
      </c>
      <c r="C77" s="499" t="s">
        <v>1126</v>
      </c>
      <c r="D77" s="499"/>
      <c r="E77" s="499" t="s">
        <v>174</v>
      </c>
      <c r="F77" s="499" t="s">
        <v>54</v>
      </c>
      <c r="G77" s="501">
        <f t="shared" si="18"/>
        <v>1420.3</v>
      </c>
      <c r="H77" s="501">
        <v>1351</v>
      </c>
      <c r="I77" s="501">
        <v>69.3</v>
      </c>
      <c r="J77" s="466">
        <v>0</v>
      </c>
      <c r="K77" s="483">
        <f t="shared" si="66"/>
        <v>0</v>
      </c>
      <c r="L77" s="466"/>
      <c r="M77" s="466"/>
      <c r="N77" s="483"/>
      <c r="O77" s="466"/>
      <c r="P77" s="466"/>
      <c r="Q77" s="466">
        <f t="shared" si="67"/>
        <v>1420.3</v>
      </c>
      <c r="R77" s="466">
        <v>1351</v>
      </c>
      <c r="S77" s="466">
        <v>69.3</v>
      </c>
      <c r="T77" s="466"/>
      <c r="U77" s="451">
        <f t="shared" si="68"/>
        <v>1420.3</v>
      </c>
      <c r="V77" s="451">
        <f t="shared" si="69"/>
        <v>1351</v>
      </c>
      <c r="W77" s="451">
        <f t="shared" si="69"/>
        <v>69.3</v>
      </c>
      <c r="X77" s="445">
        <f t="shared" si="11"/>
        <v>0</v>
      </c>
      <c r="Y77" s="466"/>
      <c r="Z77" s="466"/>
      <c r="AA77" s="466"/>
      <c r="AB77" s="466"/>
      <c r="AC77" s="466"/>
      <c r="AD77" s="466">
        <f t="shared" si="76"/>
        <v>1420.3</v>
      </c>
      <c r="AE77" s="466">
        <v>1351</v>
      </c>
      <c r="AF77" s="466">
        <v>69.3</v>
      </c>
      <c r="AG77" s="466"/>
      <c r="AH77" s="466"/>
      <c r="AI77" s="466"/>
      <c r="AJ77" s="466"/>
      <c r="AK77" s="466"/>
      <c r="AL77" s="502"/>
      <c r="AM77" s="503"/>
      <c r="AN77" s="503"/>
      <c r="AO77" s="503"/>
    </row>
    <row r="78" spans="1:41" s="504" customFormat="1" ht="30" hidden="1">
      <c r="A78" s="21">
        <f t="shared" si="71"/>
        <v>9</v>
      </c>
      <c r="B78" s="500" t="s">
        <v>1127</v>
      </c>
      <c r="C78" s="499" t="s">
        <v>1128</v>
      </c>
      <c r="D78" s="499"/>
      <c r="E78" s="499" t="s">
        <v>176</v>
      </c>
      <c r="F78" s="499" t="s">
        <v>54</v>
      </c>
      <c r="G78" s="501">
        <f t="shared" si="18"/>
        <v>158.5</v>
      </c>
      <c r="H78" s="501">
        <v>150</v>
      </c>
      <c r="I78" s="501">
        <v>8.5</v>
      </c>
      <c r="J78" s="466">
        <v>0</v>
      </c>
      <c r="K78" s="483">
        <f t="shared" si="66"/>
        <v>0</v>
      </c>
      <c r="L78" s="466"/>
      <c r="M78" s="466"/>
      <c r="N78" s="483"/>
      <c r="O78" s="466"/>
      <c r="P78" s="466"/>
      <c r="Q78" s="466">
        <f t="shared" si="67"/>
        <v>158.5</v>
      </c>
      <c r="R78" s="466">
        <v>150</v>
      </c>
      <c r="S78" s="466">
        <v>8.5</v>
      </c>
      <c r="T78" s="466"/>
      <c r="U78" s="451">
        <f t="shared" si="68"/>
        <v>158.5</v>
      </c>
      <c r="V78" s="451">
        <f t="shared" si="69"/>
        <v>150</v>
      </c>
      <c r="W78" s="451">
        <f t="shared" si="69"/>
        <v>8.5</v>
      </c>
      <c r="X78" s="445">
        <f t="shared" si="11"/>
        <v>0</v>
      </c>
      <c r="Y78" s="466"/>
      <c r="Z78" s="466"/>
      <c r="AA78" s="466"/>
      <c r="AB78" s="466"/>
      <c r="AC78" s="466"/>
      <c r="AD78" s="466">
        <f t="shared" si="76"/>
        <v>158.5</v>
      </c>
      <c r="AE78" s="466">
        <v>150</v>
      </c>
      <c r="AF78" s="466">
        <v>8.5</v>
      </c>
      <c r="AG78" s="466"/>
      <c r="AH78" s="466"/>
      <c r="AI78" s="466"/>
      <c r="AJ78" s="466"/>
      <c r="AK78" s="466"/>
      <c r="AL78" s="502"/>
      <c r="AM78" s="503"/>
      <c r="AN78" s="503"/>
      <c r="AO78" s="503"/>
    </row>
    <row r="79" spans="1:41" s="504" customFormat="1" ht="75" hidden="1">
      <c r="A79" s="21">
        <f t="shared" si="71"/>
        <v>10</v>
      </c>
      <c r="B79" s="500" t="s">
        <v>1129</v>
      </c>
      <c r="C79" s="499" t="s">
        <v>173</v>
      </c>
      <c r="D79" s="499"/>
      <c r="E79" s="134" t="s">
        <v>178</v>
      </c>
      <c r="F79" s="499" t="s">
        <v>54</v>
      </c>
      <c r="G79" s="501">
        <f t="shared" si="18"/>
        <v>274</v>
      </c>
      <c r="H79" s="501">
        <v>260</v>
      </c>
      <c r="I79" s="501">
        <v>14</v>
      </c>
      <c r="J79" s="466">
        <v>0</v>
      </c>
      <c r="K79" s="483">
        <f t="shared" si="66"/>
        <v>0</v>
      </c>
      <c r="L79" s="466"/>
      <c r="M79" s="466"/>
      <c r="N79" s="483"/>
      <c r="O79" s="466"/>
      <c r="P79" s="466"/>
      <c r="Q79" s="466">
        <f t="shared" si="67"/>
        <v>274</v>
      </c>
      <c r="R79" s="466">
        <v>260</v>
      </c>
      <c r="S79" s="466">
        <v>14</v>
      </c>
      <c r="T79" s="466"/>
      <c r="U79" s="451">
        <f t="shared" si="68"/>
        <v>274</v>
      </c>
      <c r="V79" s="451">
        <f t="shared" si="69"/>
        <v>260</v>
      </c>
      <c r="W79" s="451">
        <f t="shared" si="69"/>
        <v>14</v>
      </c>
      <c r="X79" s="445">
        <f t="shared" si="11"/>
        <v>0</v>
      </c>
      <c r="Y79" s="466"/>
      <c r="Z79" s="466"/>
      <c r="AA79" s="466"/>
      <c r="AB79" s="466"/>
      <c r="AC79" s="466"/>
      <c r="AD79" s="466">
        <f t="shared" si="76"/>
        <v>274</v>
      </c>
      <c r="AE79" s="466">
        <v>260</v>
      </c>
      <c r="AF79" s="466">
        <v>14</v>
      </c>
      <c r="AG79" s="466"/>
      <c r="AH79" s="466"/>
      <c r="AI79" s="466"/>
      <c r="AJ79" s="466"/>
      <c r="AK79" s="466"/>
      <c r="AL79" s="502"/>
      <c r="AM79" s="503"/>
      <c r="AN79" s="503"/>
      <c r="AO79" s="503"/>
    </row>
    <row r="80" spans="1:41" ht="30" hidden="1">
      <c r="A80" s="21">
        <f t="shared" si="71"/>
        <v>11</v>
      </c>
      <c r="B80" s="329" t="s">
        <v>179</v>
      </c>
      <c r="C80" s="21" t="s">
        <v>58</v>
      </c>
      <c r="D80" s="21"/>
      <c r="E80" s="21" t="s">
        <v>180</v>
      </c>
      <c r="F80" s="21" t="s">
        <v>55</v>
      </c>
      <c r="G80" s="445">
        <f t="shared" si="18"/>
        <v>996</v>
      </c>
      <c r="H80" s="445">
        <v>950</v>
      </c>
      <c r="I80" s="445">
        <v>46</v>
      </c>
      <c r="J80" s="451">
        <v>0</v>
      </c>
      <c r="K80" s="483">
        <f t="shared" si="66"/>
        <v>0</v>
      </c>
      <c r="L80" s="451"/>
      <c r="M80" s="451"/>
      <c r="N80" s="483"/>
      <c r="O80" s="451"/>
      <c r="P80" s="451"/>
      <c r="Q80" s="445">
        <f t="shared" ref="Q80:Q83" si="77">R80+S80</f>
        <v>996</v>
      </c>
      <c r="R80" s="445">
        <v>950</v>
      </c>
      <c r="S80" s="445">
        <v>46</v>
      </c>
      <c r="T80" s="451"/>
      <c r="U80" s="451">
        <f t="shared" si="68"/>
        <v>0</v>
      </c>
      <c r="V80" s="451">
        <f t="shared" si="69"/>
        <v>0</v>
      </c>
      <c r="W80" s="451">
        <f t="shared" si="69"/>
        <v>0</v>
      </c>
      <c r="X80" s="445">
        <f t="shared" si="11"/>
        <v>0</v>
      </c>
      <c r="Y80" s="451"/>
      <c r="Z80" s="451"/>
      <c r="AA80" s="451"/>
      <c r="AB80" s="483"/>
      <c r="AC80" s="483"/>
      <c r="AD80" s="451"/>
      <c r="AE80" s="483"/>
      <c r="AF80" s="483"/>
      <c r="AG80" s="445">
        <f t="shared" ref="AG80:AG83" si="78">AH80+AI80</f>
        <v>996</v>
      </c>
      <c r="AH80" s="445">
        <v>950</v>
      </c>
      <c r="AI80" s="445">
        <v>46</v>
      </c>
      <c r="AJ80" s="451"/>
      <c r="AK80" s="451"/>
      <c r="AL80" s="15"/>
    </row>
    <row r="81" spans="1:41" ht="75" hidden="1">
      <c r="A81" s="21">
        <f t="shared" si="71"/>
        <v>12</v>
      </c>
      <c r="B81" s="329" t="s">
        <v>181</v>
      </c>
      <c r="C81" s="21" t="s">
        <v>182</v>
      </c>
      <c r="D81" s="21"/>
      <c r="E81" s="21" t="s">
        <v>151</v>
      </c>
      <c r="F81" s="21" t="s">
        <v>55</v>
      </c>
      <c r="G81" s="445">
        <f t="shared" si="18"/>
        <v>996</v>
      </c>
      <c r="H81" s="445">
        <v>950</v>
      </c>
      <c r="I81" s="445">
        <v>46</v>
      </c>
      <c r="J81" s="451">
        <v>0</v>
      </c>
      <c r="K81" s="483">
        <f t="shared" si="66"/>
        <v>0</v>
      </c>
      <c r="L81" s="451"/>
      <c r="M81" s="451"/>
      <c r="N81" s="483"/>
      <c r="O81" s="451"/>
      <c r="P81" s="451"/>
      <c r="Q81" s="445">
        <f t="shared" si="77"/>
        <v>996</v>
      </c>
      <c r="R81" s="445">
        <v>950</v>
      </c>
      <c r="S81" s="445">
        <v>46</v>
      </c>
      <c r="T81" s="451"/>
      <c r="U81" s="451">
        <f t="shared" si="68"/>
        <v>0</v>
      </c>
      <c r="V81" s="451">
        <f t="shared" si="69"/>
        <v>0</v>
      </c>
      <c r="W81" s="451">
        <f t="shared" si="69"/>
        <v>0</v>
      </c>
      <c r="X81" s="445">
        <f t="shared" si="11"/>
        <v>0</v>
      </c>
      <c r="Y81" s="451"/>
      <c r="Z81" s="451"/>
      <c r="AA81" s="451"/>
      <c r="AB81" s="483"/>
      <c r="AC81" s="483"/>
      <c r="AD81" s="451"/>
      <c r="AE81" s="483"/>
      <c r="AF81" s="483"/>
      <c r="AG81" s="445">
        <f t="shared" si="78"/>
        <v>996</v>
      </c>
      <c r="AH81" s="445">
        <v>950</v>
      </c>
      <c r="AI81" s="445">
        <v>46</v>
      </c>
      <c r="AJ81" s="451"/>
      <c r="AK81" s="451"/>
      <c r="AL81" s="15"/>
    </row>
    <row r="82" spans="1:41" ht="75" hidden="1">
      <c r="A82" s="21">
        <f t="shared" si="71"/>
        <v>13</v>
      </c>
      <c r="B82" s="329" t="s">
        <v>183</v>
      </c>
      <c r="C82" s="21" t="s">
        <v>184</v>
      </c>
      <c r="D82" s="21"/>
      <c r="E82" s="21" t="s">
        <v>151</v>
      </c>
      <c r="F82" s="21" t="s">
        <v>55</v>
      </c>
      <c r="G82" s="445">
        <f t="shared" si="18"/>
        <v>741.8</v>
      </c>
      <c r="H82" s="445">
        <v>706.8</v>
      </c>
      <c r="I82" s="445">
        <v>35</v>
      </c>
      <c r="J82" s="451">
        <v>0</v>
      </c>
      <c r="K82" s="483">
        <f t="shared" si="66"/>
        <v>0</v>
      </c>
      <c r="L82" s="451"/>
      <c r="M82" s="451"/>
      <c r="N82" s="483"/>
      <c r="O82" s="451"/>
      <c r="P82" s="451"/>
      <c r="Q82" s="445">
        <f t="shared" si="77"/>
        <v>741.8</v>
      </c>
      <c r="R82" s="445">
        <v>706.8</v>
      </c>
      <c r="S82" s="445">
        <v>35</v>
      </c>
      <c r="T82" s="451"/>
      <c r="U82" s="451">
        <f t="shared" si="68"/>
        <v>0</v>
      </c>
      <c r="V82" s="451">
        <f t="shared" si="69"/>
        <v>0</v>
      </c>
      <c r="W82" s="451">
        <f t="shared" si="69"/>
        <v>0</v>
      </c>
      <c r="X82" s="445">
        <f t="shared" si="11"/>
        <v>0</v>
      </c>
      <c r="Y82" s="451"/>
      <c r="Z82" s="451"/>
      <c r="AA82" s="451"/>
      <c r="AB82" s="483"/>
      <c r="AC82" s="483"/>
      <c r="AD82" s="451"/>
      <c r="AE82" s="483"/>
      <c r="AF82" s="483"/>
      <c r="AG82" s="445">
        <f t="shared" si="78"/>
        <v>741.8</v>
      </c>
      <c r="AH82" s="445">
        <v>706.8</v>
      </c>
      <c r="AI82" s="445">
        <v>35</v>
      </c>
      <c r="AJ82" s="451"/>
      <c r="AK82" s="451"/>
      <c r="AL82" s="15"/>
    </row>
    <row r="83" spans="1:41" ht="45" hidden="1">
      <c r="A83" s="21">
        <f t="shared" si="71"/>
        <v>14</v>
      </c>
      <c r="B83" s="329" t="s">
        <v>1142</v>
      </c>
      <c r="C83" s="21" t="s">
        <v>1143</v>
      </c>
      <c r="D83" s="21"/>
      <c r="E83" s="21"/>
      <c r="F83" s="21" t="s">
        <v>55</v>
      </c>
      <c r="G83" s="445"/>
      <c r="H83" s="445"/>
      <c r="I83" s="445"/>
      <c r="J83" s="451"/>
      <c r="K83" s="483"/>
      <c r="L83" s="451"/>
      <c r="M83" s="451"/>
      <c r="N83" s="445">
        <f t="shared" ref="N83" si="79">O83+P83</f>
        <v>648.77559999999994</v>
      </c>
      <c r="O83" s="483">
        <v>642.63559999999995</v>
      </c>
      <c r="P83" s="483">
        <v>6.14</v>
      </c>
      <c r="Q83" s="445">
        <f t="shared" si="77"/>
        <v>648.77559999999994</v>
      </c>
      <c r="R83" s="483">
        <v>642.63559999999995</v>
      </c>
      <c r="S83" s="483">
        <v>6.14</v>
      </c>
      <c r="T83" s="533" t="s">
        <v>1166</v>
      </c>
      <c r="U83" s="451"/>
      <c r="V83" s="451"/>
      <c r="W83" s="451"/>
      <c r="X83" s="445"/>
      <c r="Y83" s="451"/>
      <c r="Z83" s="451"/>
      <c r="AA83" s="451"/>
      <c r="AB83" s="483"/>
      <c r="AC83" s="483"/>
      <c r="AD83" s="451"/>
      <c r="AE83" s="483"/>
      <c r="AF83" s="483"/>
      <c r="AG83" s="445">
        <f t="shared" si="78"/>
        <v>648.77559999999994</v>
      </c>
      <c r="AH83" s="483">
        <v>642.63559999999995</v>
      </c>
      <c r="AI83" s="483">
        <v>6.14</v>
      </c>
      <c r="AJ83" s="451"/>
      <c r="AK83" s="451"/>
      <c r="AL83" s="15"/>
    </row>
    <row r="84" spans="1:41" s="14" customFormat="1" ht="23.25" customHeight="1">
      <c r="A84" s="4" t="s">
        <v>992</v>
      </c>
      <c r="B84" s="507" t="s">
        <v>186</v>
      </c>
      <c r="C84" s="418"/>
      <c r="D84" s="418"/>
      <c r="E84" s="417">
        <v>0</v>
      </c>
      <c r="F84" s="417"/>
      <c r="G84" s="446">
        <f>SUM(G85:G104)</f>
        <v>10075.5</v>
      </c>
      <c r="H84" s="446">
        <f t="shared" ref="H84:S84" si="80">SUM(H85:H104)</f>
        <v>9595.69</v>
      </c>
      <c r="I84" s="446">
        <f t="shared" si="80"/>
        <v>479.81000000000006</v>
      </c>
      <c r="J84" s="446">
        <f t="shared" si="80"/>
        <v>0</v>
      </c>
      <c r="K84" s="446">
        <f t="shared" si="80"/>
        <v>749.07416000000001</v>
      </c>
      <c r="L84" s="446">
        <f t="shared" si="80"/>
        <v>731.67416000000003</v>
      </c>
      <c r="M84" s="446">
        <f t="shared" si="80"/>
        <v>17.399999999999999</v>
      </c>
      <c r="N84" s="446">
        <f t="shared" si="80"/>
        <v>749.07415999999989</v>
      </c>
      <c r="O84" s="446">
        <f t="shared" si="80"/>
        <v>731.67415999999992</v>
      </c>
      <c r="P84" s="446">
        <f t="shared" si="80"/>
        <v>17.399999999999999</v>
      </c>
      <c r="Q84" s="446">
        <f t="shared" si="80"/>
        <v>10075.500000000002</v>
      </c>
      <c r="R84" s="446">
        <f t="shared" si="80"/>
        <v>9595.69</v>
      </c>
      <c r="S84" s="446">
        <f t="shared" si="80"/>
        <v>479.81</v>
      </c>
      <c r="T84" s="446"/>
      <c r="U84" s="446">
        <f t="shared" ref="U84:AF84" si="81">SUM(U85:U103)</f>
        <v>6717.5758400000004</v>
      </c>
      <c r="V84" s="446">
        <f t="shared" si="81"/>
        <v>6370.3658400000004</v>
      </c>
      <c r="W84" s="446">
        <f t="shared" si="81"/>
        <v>347.21</v>
      </c>
      <c r="X84" s="446">
        <f t="shared" si="81"/>
        <v>1813.4</v>
      </c>
      <c r="Y84" s="446">
        <f t="shared" si="81"/>
        <v>1727.04</v>
      </c>
      <c r="Z84" s="446">
        <f t="shared" si="81"/>
        <v>86.36</v>
      </c>
      <c r="AA84" s="446">
        <f t="shared" si="81"/>
        <v>2430.8758399999997</v>
      </c>
      <c r="AB84" s="446">
        <f t="shared" si="81"/>
        <v>2305.9258399999999</v>
      </c>
      <c r="AC84" s="446">
        <f t="shared" si="81"/>
        <v>124.95</v>
      </c>
      <c r="AD84" s="446">
        <f t="shared" si="81"/>
        <v>2473.3000000000002</v>
      </c>
      <c r="AE84" s="446">
        <f t="shared" si="81"/>
        <v>2337.4</v>
      </c>
      <c r="AF84" s="446">
        <f t="shared" si="81"/>
        <v>135.9</v>
      </c>
      <c r="AG84" s="446">
        <f>SUM(AG85:AG104)</f>
        <v>3357.9241599999996</v>
      </c>
      <c r="AH84" s="446">
        <f>SUM(AH85:AH104)</f>
        <v>3225.3241600000001</v>
      </c>
      <c r="AI84" s="446">
        <f>SUM(AI85:AI104)</f>
        <v>132.6</v>
      </c>
      <c r="AJ84" s="446"/>
      <c r="AK84" s="446">
        <f>SUM(AK85:AK103)</f>
        <v>0</v>
      </c>
      <c r="AL84" s="16"/>
      <c r="AM84" s="368">
        <f>+'NĂM 2022'!K42+'NĂM 2023'!N40+'NĂM 2024'!J42+'NĂM 2025'!J39</f>
        <v>10075.540000000001</v>
      </c>
      <c r="AN84" s="368">
        <f>+'NĂM 2022'!L42+'NĂM 2023'!O40+'NĂM 2024'!K42+'NĂM 2025'!K39</f>
        <v>9595.74</v>
      </c>
      <c r="AO84" s="368">
        <f>+'NĂM 2022'!M42+'NĂM 2023'!P40+'NĂM 2024'!L42+'NĂM 2025'!L39</f>
        <v>479.8</v>
      </c>
    </row>
    <row r="85" spans="1:41" s="146" customFormat="1" ht="75" hidden="1">
      <c r="A85" s="141">
        <v>1</v>
      </c>
      <c r="B85" s="330" t="s">
        <v>187</v>
      </c>
      <c r="C85" s="141" t="s">
        <v>188</v>
      </c>
      <c r="D85" s="141"/>
      <c r="E85" s="141" t="s">
        <v>189</v>
      </c>
      <c r="F85" s="142" t="s">
        <v>52</v>
      </c>
      <c r="G85" s="447">
        <f t="shared" si="18"/>
        <v>395.85</v>
      </c>
      <c r="H85" s="447">
        <v>377</v>
      </c>
      <c r="I85" s="447">
        <v>18.850000000000001</v>
      </c>
      <c r="J85" s="448"/>
      <c r="K85" s="483">
        <f>+G85-Q85</f>
        <v>0</v>
      </c>
      <c r="L85" s="448"/>
      <c r="M85" s="448"/>
      <c r="N85" s="483"/>
      <c r="O85" s="448"/>
      <c r="P85" s="448"/>
      <c r="Q85" s="466">
        <v>395.85</v>
      </c>
      <c r="R85" s="448">
        <v>377</v>
      </c>
      <c r="S85" s="448">
        <v>18.850000000000001</v>
      </c>
      <c r="T85" s="448"/>
      <c r="U85" s="448">
        <f>+V85+W85</f>
        <v>395.85</v>
      </c>
      <c r="V85" s="448">
        <f>+Y85+AB85+AE85</f>
        <v>377</v>
      </c>
      <c r="W85" s="448">
        <f>+Z85+AC85+AF85</f>
        <v>18.850000000000001</v>
      </c>
      <c r="X85" s="445">
        <f t="shared" si="11"/>
        <v>395.85</v>
      </c>
      <c r="Y85" s="447">
        <v>377</v>
      </c>
      <c r="Z85" s="447">
        <v>18.850000000000001</v>
      </c>
      <c r="AA85" s="447"/>
      <c r="AB85" s="481"/>
      <c r="AC85" s="481"/>
      <c r="AD85" s="447"/>
      <c r="AE85" s="481"/>
      <c r="AF85" s="481"/>
      <c r="AG85" s="447"/>
      <c r="AH85" s="481"/>
      <c r="AI85" s="481"/>
      <c r="AJ85" s="447"/>
      <c r="AK85" s="448"/>
      <c r="AL85" s="145"/>
      <c r="AM85" s="369">
        <f>+G84-U84</f>
        <v>3357.9241599999996</v>
      </c>
      <c r="AN85" s="369">
        <f>+H84-V84</f>
        <v>3225.3241600000001</v>
      </c>
      <c r="AO85" s="369">
        <f>+I84-W84</f>
        <v>132.60000000000008</v>
      </c>
    </row>
    <row r="86" spans="1:41" s="146" customFormat="1" ht="75" hidden="1">
      <c r="A86" s="141">
        <v>2</v>
      </c>
      <c r="B86" s="331" t="s">
        <v>190</v>
      </c>
      <c r="C86" s="147" t="s">
        <v>191</v>
      </c>
      <c r="D86" s="147"/>
      <c r="E86" s="147" t="s">
        <v>192</v>
      </c>
      <c r="F86" s="142" t="s">
        <v>52</v>
      </c>
      <c r="G86" s="447">
        <f t="shared" si="18"/>
        <v>577.5</v>
      </c>
      <c r="H86" s="447">
        <v>550</v>
      </c>
      <c r="I86" s="447">
        <v>27.5</v>
      </c>
      <c r="J86" s="448"/>
      <c r="K86" s="483">
        <f t="shared" ref="K86:K103" si="82">+G86-Q86</f>
        <v>0</v>
      </c>
      <c r="L86" s="448"/>
      <c r="M86" s="448"/>
      <c r="N86" s="483"/>
      <c r="O86" s="448"/>
      <c r="P86" s="448"/>
      <c r="Q86" s="466">
        <v>577.5</v>
      </c>
      <c r="R86" s="448">
        <v>550</v>
      </c>
      <c r="S86" s="448">
        <v>27.5</v>
      </c>
      <c r="T86" s="448"/>
      <c r="U86" s="448">
        <f t="shared" ref="U86:U103" si="83">+V86+W86</f>
        <v>577.5</v>
      </c>
      <c r="V86" s="448">
        <f t="shared" ref="V86:W103" si="84">+Y86+AB86+AE86</f>
        <v>550</v>
      </c>
      <c r="W86" s="448">
        <f t="shared" si="84"/>
        <v>27.5</v>
      </c>
      <c r="X86" s="445">
        <f t="shared" si="11"/>
        <v>577.5</v>
      </c>
      <c r="Y86" s="447">
        <v>550</v>
      </c>
      <c r="Z86" s="447">
        <v>27.5</v>
      </c>
      <c r="AA86" s="447"/>
      <c r="AB86" s="481"/>
      <c r="AC86" s="481"/>
      <c r="AD86" s="447"/>
      <c r="AE86" s="481"/>
      <c r="AF86" s="481"/>
      <c r="AG86" s="447"/>
      <c r="AH86" s="481"/>
      <c r="AI86" s="481"/>
      <c r="AJ86" s="447"/>
      <c r="AK86" s="448"/>
      <c r="AL86" s="145"/>
      <c r="AM86" s="465">
        <f>+AM85-AG84</f>
        <v>0</v>
      </c>
      <c r="AN86" s="465">
        <f t="shared" ref="AN86:AO86" si="85">+AN85-AH84</f>
        <v>0</v>
      </c>
      <c r="AO86" s="465">
        <f t="shared" si="85"/>
        <v>0</v>
      </c>
    </row>
    <row r="87" spans="1:41" s="146" customFormat="1" ht="75" hidden="1">
      <c r="A87" s="141">
        <v>3</v>
      </c>
      <c r="B87" s="330" t="s">
        <v>193</v>
      </c>
      <c r="C87" s="141" t="s">
        <v>194</v>
      </c>
      <c r="D87" s="141"/>
      <c r="E87" s="141" t="s">
        <v>110</v>
      </c>
      <c r="F87" s="142" t="s">
        <v>52</v>
      </c>
      <c r="G87" s="447">
        <f t="shared" si="18"/>
        <v>840.05</v>
      </c>
      <c r="H87" s="447">
        <v>800.04</v>
      </c>
      <c r="I87" s="447">
        <v>40.01</v>
      </c>
      <c r="J87" s="448"/>
      <c r="K87" s="483">
        <f t="shared" si="82"/>
        <v>0</v>
      </c>
      <c r="L87" s="448"/>
      <c r="M87" s="448"/>
      <c r="N87" s="483"/>
      <c r="O87" s="448"/>
      <c r="P87" s="448"/>
      <c r="Q87" s="466">
        <v>840.05</v>
      </c>
      <c r="R87" s="448">
        <v>800.04</v>
      </c>
      <c r="S87" s="448">
        <v>40.01</v>
      </c>
      <c r="T87" s="448"/>
      <c r="U87" s="448">
        <f t="shared" si="83"/>
        <v>840.05</v>
      </c>
      <c r="V87" s="448">
        <f t="shared" si="84"/>
        <v>800.04</v>
      </c>
      <c r="W87" s="448">
        <f t="shared" si="84"/>
        <v>40.01</v>
      </c>
      <c r="X87" s="445">
        <f t="shared" si="11"/>
        <v>840.05</v>
      </c>
      <c r="Y87" s="447">
        <v>800.04</v>
      </c>
      <c r="Z87" s="447">
        <v>40.01</v>
      </c>
      <c r="AA87" s="447"/>
      <c r="AB87" s="481"/>
      <c r="AC87" s="481"/>
      <c r="AD87" s="447"/>
      <c r="AE87" s="481"/>
      <c r="AF87" s="481"/>
      <c r="AG87" s="447"/>
      <c r="AH87" s="481"/>
      <c r="AI87" s="481"/>
      <c r="AJ87" s="447"/>
      <c r="AK87" s="448"/>
      <c r="AL87" s="145"/>
      <c r="AM87" s="369"/>
      <c r="AN87" s="369"/>
      <c r="AO87" s="369"/>
    </row>
    <row r="88" spans="1:41" ht="75" hidden="1">
      <c r="A88" s="8">
        <v>4</v>
      </c>
      <c r="B88" s="328" t="s">
        <v>195</v>
      </c>
      <c r="C88" s="8" t="s">
        <v>196</v>
      </c>
      <c r="D88" s="8"/>
      <c r="E88" s="22" t="s">
        <v>798</v>
      </c>
      <c r="F88" s="21" t="s">
        <v>53</v>
      </c>
      <c r="G88" s="445">
        <f t="shared" si="18"/>
        <v>414.75</v>
      </c>
      <c r="H88" s="445">
        <v>395</v>
      </c>
      <c r="I88" s="445">
        <f>H88*5%</f>
        <v>19.75</v>
      </c>
      <c r="J88" s="451"/>
      <c r="K88" s="483">
        <f>+L88+M88</f>
        <v>146</v>
      </c>
      <c r="L88" s="451">
        <f>+H88-R88</f>
        <v>140</v>
      </c>
      <c r="M88" s="451">
        <f>+I88-S88</f>
        <v>6</v>
      </c>
      <c r="N88" s="483"/>
      <c r="O88" s="451"/>
      <c r="P88" s="451"/>
      <c r="Q88" s="466">
        <v>268.75</v>
      </c>
      <c r="R88" s="451">
        <v>255</v>
      </c>
      <c r="S88" s="451">
        <v>13.75</v>
      </c>
      <c r="T88" s="451"/>
      <c r="U88" s="448">
        <f t="shared" si="83"/>
        <v>268.75</v>
      </c>
      <c r="V88" s="448">
        <f t="shared" si="84"/>
        <v>255</v>
      </c>
      <c r="W88" s="448">
        <f t="shared" si="84"/>
        <v>13.75</v>
      </c>
      <c r="X88" s="445">
        <f t="shared" si="11"/>
        <v>0</v>
      </c>
      <c r="Y88" s="451"/>
      <c r="Z88" s="451"/>
      <c r="AA88" s="451">
        <f>+AB88+AC88</f>
        <v>268.75</v>
      </c>
      <c r="AB88" s="483">
        <v>255</v>
      </c>
      <c r="AC88" s="483">
        <v>13.75</v>
      </c>
      <c r="AD88" s="451"/>
      <c r="AE88" s="483"/>
      <c r="AF88" s="483"/>
      <c r="AG88" s="451"/>
      <c r="AH88" s="483"/>
      <c r="AI88" s="483"/>
      <c r="AJ88" s="451"/>
      <c r="AK88" s="451"/>
      <c r="AL88" s="8"/>
    </row>
    <row r="89" spans="1:41" ht="75" hidden="1">
      <c r="A89" s="8">
        <v>5</v>
      </c>
      <c r="B89" s="328" t="s">
        <v>198</v>
      </c>
      <c r="C89" s="8" t="s">
        <v>199</v>
      </c>
      <c r="D89" s="8"/>
      <c r="E89" s="22" t="s">
        <v>200</v>
      </c>
      <c r="F89" s="21" t="s">
        <v>53</v>
      </c>
      <c r="G89" s="445">
        <f t="shared" ref="G89:G161" si="86">H89+I89</f>
        <v>1575</v>
      </c>
      <c r="H89" s="445">
        <v>1500</v>
      </c>
      <c r="I89" s="445">
        <v>75</v>
      </c>
      <c r="J89" s="451">
        <v>0</v>
      </c>
      <c r="K89" s="483">
        <f t="shared" ref="K89:K92" si="87">+L89+M89</f>
        <v>59.374160000000074</v>
      </c>
      <c r="L89" s="451">
        <f t="shared" ref="L89:M92" si="88">+H89-R89</f>
        <v>59.374160000000074</v>
      </c>
      <c r="M89" s="451"/>
      <c r="N89" s="483">
        <f>+O89+P89</f>
        <v>3.2999999999999972</v>
      </c>
      <c r="O89" s="451"/>
      <c r="P89" s="451">
        <f>+S89-I89</f>
        <v>3.2999999999999972</v>
      </c>
      <c r="Q89" s="466">
        <v>1518.9258399999999</v>
      </c>
      <c r="R89" s="451">
        <v>1440.6258399999999</v>
      </c>
      <c r="S89" s="451">
        <v>78.3</v>
      </c>
      <c r="T89" s="451"/>
      <c r="U89" s="448">
        <f t="shared" si="83"/>
        <v>1518.9258399999999</v>
      </c>
      <c r="V89" s="448">
        <f t="shared" si="84"/>
        <v>1440.6258399999999</v>
      </c>
      <c r="W89" s="448">
        <f t="shared" si="84"/>
        <v>78.3</v>
      </c>
      <c r="X89" s="445">
        <f t="shared" ref="X89:X161" si="89">Y89+Z89</f>
        <v>0</v>
      </c>
      <c r="Y89" s="451"/>
      <c r="Z89" s="451"/>
      <c r="AA89" s="451">
        <f>+AB89+AC89</f>
        <v>1518.9258399999999</v>
      </c>
      <c r="AB89" s="483">
        <f>1450-9.37416</f>
        <v>1440.6258399999999</v>
      </c>
      <c r="AC89" s="483">
        <v>78.3</v>
      </c>
      <c r="AD89" s="451"/>
      <c r="AE89" s="483"/>
      <c r="AF89" s="483"/>
      <c r="AG89" s="451"/>
      <c r="AH89" s="483"/>
      <c r="AI89" s="483"/>
      <c r="AJ89" s="451"/>
      <c r="AK89" s="451"/>
      <c r="AL89" s="8"/>
    </row>
    <row r="90" spans="1:41" ht="30" hidden="1">
      <c r="A90" s="8">
        <v>6</v>
      </c>
      <c r="B90" s="328" t="s">
        <v>799</v>
      </c>
      <c r="C90" s="8" t="s">
        <v>800</v>
      </c>
      <c r="D90" s="8"/>
      <c r="E90" s="8" t="s">
        <v>801</v>
      </c>
      <c r="F90" s="21" t="s">
        <v>53</v>
      </c>
      <c r="G90" s="445">
        <f>H90+I90</f>
        <v>504</v>
      </c>
      <c r="H90" s="445">
        <v>480</v>
      </c>
      <c r="I90" s="445">
        <f>H90*5%</f>
        <v>24</v>
      </c>
      <c r="J90" s="451"/>
      <c r="K90" s="483">
        <f t="shared" si="87"/>
        <v>103.5</v>
      </c>
      <c r="L90" s="451">
        <f t="shared" si="88"/>
        <v>100</v>
      </c>
      <c r="M90" s="451">
        <f t="shared" si="88"/>
        <v>3.5</v>
      </c>
      <c r="N90" s="483"/>
      <c r="O90" s="451"/>
      <c r="P90" s="451"/>
      <c r="Q90" s="466">
        <v>400.5</v>
      </c>
      <c r="R90" s="451">
        <v>380</v>
      </c>
      <c r="S90" s="451">
        <v>20.5</v>
      </c>
      <c r="T90" s="451"/>
      <c r="U90" s="448">
        <f t="shared" si="83"/>
        <v>400.5</v>
      </c>
      <c r="V90" s="448">
        <f t="shared" si="84"/>
        <v>380</v>
      </c>
      <c r="W90" s="448">
        <f t="shared" si="84"/>
        <v>20.5</v>
      </c>
      <c r="X90" s="445">
        <f t="shared" si="89"/>
        <v>0</v>
      </c>
      <c r="Y90" s="451"/>
      <c r="Z90" s="451"/>
      <c r="AA90" s="451">
        <f>+AB90+AC90</f>
        <v>400.5</v>
      </c>
      <c r="AB90" s="483">
        <v>380</v>
      </c>
      <c r="AC90" s="483">
        <v>20.5</v>
      </c>
      <c r="AD90" s="451"/>
      <c r="AE90" s="483"/>
      <c r="AF90" s="483"/>
      <c r="AG90" s="451"/>
      <c r="AH90" s="483"/>
      <c r="AI90" s="483"/>
      <c r="AJ90" s="451"/>
      <c r="AK90" s="451"/>
      <c r="AL90" s="15"/>
    </row>
    <row r="91" spans="1:41" ht="75" hidden="1">
      <c r="A91" s="8">
        <v>7</v>
      </c>
      <c r="B91" s="328" t="s">
        <v>209</v>
      </c>
      <c r="C91" s="8" t="s">
        <v>210</v>
      </c>
      <c r="D91" s="8"/>
      <c r="E91" s="8" t="s">
        <v>211</v>
      </c>
      <c r="F91" s="21" t="s">
        <v>53</v>
      </c>
      <c r="G91" s="445">
        <f>H91+I91</f>
        <v>315</v>
      </c>
      <c r="H91" s="445">
        <v>300</v>
      </c>
      <c r="I91" s="445">
        <f>H91*5%</f>
        <v>15</v>
      </c>
      <c r="J91" s="451"/>
      <c r="K91" s="483">
        <f t="shared" si="87"/>
        <v>72.299999999999983</v>
      </c>
      <c r="L91" s="451">
        <f t="shared" si="88"/>
        <v>69.699999999999989</v>
      </c>
      <c r="M91" s="451">
        <f t="shared" si="88"/>
        <v>2.5999999999999996</v>
      </c>
      <c r="N91" s="483"/>
      <c r="O91" s="451"/>
      <c r="P91" s="451"/>
      <c r="Q91" s="466">
        <v>242.70000000000002</v>
      </c>
      <c r="R91" s="451">
        <v>230.3</v>
      </c>
      <c r="S91" s="451">
        <v>12.4</v>
      </c>
      <c r="T91" s="451"/>
      <c r="U91" s="448">
        <f t="shared" si="83"/>
        <v>242.70000000000002</v>
      </c>
      <c r="V91" s="448">
        <f t="shared" si="84"/>
        <v>230.3</v>
      </c>
      <c r="W91" s="448">
        <f t="shared" si="84"/>
        <v>12.4</v>
      </c>
      <c r="X91" s="445"/>
      <c r="Y91" s="451"/>
      <c r="Z91" s="451"/>
      <c r="AA91" s="451">
        <f>+AB91+AC91</f>
        <v>242.70000000000002</v>
      </c>
      <c r="AB91" s="483">
        <v>230.3</v>
      </c>
      <c r="AC91" s="483">
        <v>12.4</v>
      </c>
      <c r="AD91" s="451"/>
      <c r="AE91" s="483"/>
      <c r="AF91" s="483"/>
      <c r="AG91" s="451"/>
      <c r="AH91" s="483"/>
      <c r="AI91" s="483"/>
      <c r="AJ91" s="451"/>
      <c r="AK91" s="451"/>
      <c r="AL91" s="15"/>
    </row>
    <row r="92" spans="1:41" ht="45" hidden="1">
      <c r="A92" s="8">
        <v>8</v>
      </c>
      <c r="B92" s="328" t="s">
        <v>203</v>
      </c>
      <c r="C92" s="8" t="s">
        <v>204</v>
      </c>
      <c r="D92" s="8"/>
      <c r="E92" s="8" t="s">
        <v>205</v>
      </c>
      <c r="F92" s="21" t="s">
        <v>54</v>
      </c>
      <c r="G92" s="445">
        <f t="shared" si="86"/>
        <v>630</v>
      </c>
      <c r="H92" s="445">
        <v>600</v>
      </c>
      <c r="I92" s="445">
        <f>H92*5%</f>
        <v>30</v>
      </c>
      <c r="J92" s="451">
        <v>0</v>
      </c>
      <c r="K92" s="483">
        <f t="shared" si="87"/>
        <v>180</v>
      </c>
      <c r="L92" s="451">
        <f t="shared" si="88"/>
        <v>174.7</v>
      </c>
      <c r="M92" s="451">
        <f t="shared" si="88"/>
        <v>5.3000000000000007</v>
      </c>
      <c r="N92" s="483"/>
      <c r="O92" s="451"/>
      <c r="P92" s="451"/>
      <c r="Q92" s="466">
        <v>450</v>
      </c>
      <c r="R92" s="451">
        <v>425.3</v>
      </c>
      <c r="S92" s="451">
        <v>24.7</v>
      </c>
      <c r="T92" s="451"/>
      <c r="U92" s="448">
        <f t="shared" si="83"/>
        <v>450</v>
      </c>
      <c r="V92" s="448">
        <f t="shared" si="84"/>
        <v>425.3</v>
      </c>
      <c r="W92" s="448">
        <f t="shared" si="84"/>
        <v>24.7</v>
      </c>
      <c r="X92" s="445">
        <f t="shared" si="89"/>
        <v>0</v>
      </c>
      <c r="Y92" s="451"/>
      <c r="Z92" s="451"/>
      <c r="AA92" s="451"/>
      <c r="AB92" s="483"/>
      <c r="AC92" s="483"/>
      <c r="AD92" s="451">
        <f>+AE92+AF92</f>
        <v>450</v>
      </c>
      <c r="AE92" s="483">
        <v>425.3</v>
      </c>
      <c r="AF92" s="483">
        <v>24.7</v>
      </c>
      <c r="AG92" s="451"/>
      <c r="AH92" s="483"/>
      <c r="AI92" s="483"/>
      <c r="AJ92" s="451"/>
      <c r="AK92" s="451"/>
      <c r="AL92" s="8"/>
    </row>
    <row r="93" spans="1:41" ht="75" hidden="1">
      <c r="A93" s="8">
        <v>9</v>
      </c>
      <c r="B93" s="360" t="s">
        <v>206</v>
      </c>
      <c r="C93" s="8" t="s">
        <v>196</v>
      </c>
      <c r="D93" s="8"/>
      <c r="E93" s="8" t="s">
        <v>178</v>
      </c>
      <c r="F93" s="21" t="s">
        <v>54</v>
      </c>
      <c r="G93" s="445">
        <f t="shared" si="86"/>
        <v>210</v>
      </c>
      <c r="H93" s="445">
        <v>200</v>
      </c>
      <c r="I93" s="445">
        <v>10</v>
      </c>
      <c r="J93" s="451"/>
      <c r="K93" s="483">
        <f>+L93+M93</f>
        <v>1.5</v>
      </c>
      <c r="L93" s="451">
        <f>+H93-R93</f>
        <v>1.5</v>
      </c>
      <c r="M93" s="451"/>
      <c r="N93" s="483">
        <f>+O93+P93</f>
        <v>1.5</v>
      </c>
      <c r="O93" s="451"/>
      <c r="P93" s="451">
        <f>+S93-I93</f>
        <v>1.5</v>
      </c>
      <c r="Q93" s="466">
        <v>210</v>
      </c>
      <c r="R93" s="451">
        <v>198.5</v>
      </c>
      <c r="S93" s="451">
        <v>11.5</v>
      </c>
      <c r="T93" s="451"/>
      <c r="U93" s="448">
        <f t="shared" si="83"/>
        <v>210</v>
      </c>
      <c r="V93" s="448">
        <f t="shared" si="84"/>
        <v>198.5</v>
      </c>
      <c r="W93" s="448">
        <f t="shared" si="84"/>
        <v>11.5</v>
      </c>
      <c r="X93" s="445">
        <f t="shared" si="89"/>
        <v>0</v>
      </c>
      <c r="Y93" s="451"/>
      <c r="Z93" s="451"/>
      <c r="AA93" s="493"/>
      <c r="AB93" s="494"/>
      <c r="AC93" s="494"/>
      <c r="AD93" s="451">
        <f>+AE93+AF93</f>
        <v>210</v>
      </c>
      <c r="AE93" s="483">
        <v>198.5</v>
      </c>
      <c r="AF93" s="483">
        <v>11.5</v>
      </c>
      <c r="AG93" s="451"/>
      <c r="AH93" s="483"/>
      <c r="AI93" s="483"/>
      <c r="AJ93" s="451"/>
      <c r="AK93" s="451"/>
      <c r="AL93" s="8"/>
    </row>
    <row r="94" spans="1:41" ht="75" hidden="1">
      <c r="A94" s="8">
        <v>10</v>
      </c>
      <c r="B94" s="360" t="s">
        <v>207</v>
      </c>
      <c r="C94" s="8" t="s">
        <v>194</v>
      </c>
      <c r="D94" s="8"/>
      <c r="E94" s="8" t="s">
        <v>208</v>
      </c>
      <c r="F94" s="21" t="s">
        <v>54</v>
      </c>
      <c r="G94" s="445">
        <f t="shared" si="86"/>
        <v>420</v>
      </c>
      <c r="H94" s="445">
        <v>400</v>
      </c>
      <c r="I94" s="445">
        <f>H94*5%</f>
        <v>20</v>
      </c>
      <c r="J94" s="451"/>
      <c r="K94" s="483">
        <f t="shared" ref="K94:K96" si="90">+L94+M94</f>
        <v>22</v>
      </c>
      <c r="L94" s="451">
        <f t="shared" ref="L94:L96" si="91">+H94-R94</f>
        <v>22</v>
      </c>
      <c r="M94" s="451"/>
      <c r="N94" s="483">
        <f t="shared" ref="N94:N96" si="92">+O94+P94</f>
        <v>2</v>
      </c>
      <c r="O94" s="451"/>
      <c r="P94" s="451">
        <f t="shared" ref="P94:P96" si="93">+S94-I94</f>
        <v>2</v>
      </c>
      <c r="Q94" s="466">
        <v>400</v>
      </c>
      <c r="R94" s="451">
        <v>378</v>
      </c>
      <c r="S94" s="451">
        <v>22</v>
      </c>
      <c r="T94" s="451"/>
      <c r="U94" s="448">
        <f t="shared" si="83"/>
        <v>400</v>
      </c>
      <c r="V94" s="448">
        <f t="shared" si="84"/>
        <v>378</v>
      </c>
      <c r="W94" s="448">
        <f t="shared" si="84"/>
        <v>22</v>
      </c>
      <c r="X94" s="445">
        <f t="shared" si="89"/>
        <v>0</v>
      </c>
      <c r="Y94" s="451"/>
      <c r="Z94" s="451"/>
      <c r="AA94" s="493"/>
      <c r="AB94" s="494"/>
      <c r="AC94" s="494"/>
      <c r="AD94" s="451">
        <f>+AE94+AF94</f>
        <v>400</v>
      </c>
      <c r="AE94" s="483">
        <v>378</v>
      </c>
      <c r="AF94" s="483">
        <v>22</v>
      </c>
      <c r="AG94" s="451"/>
      <c r="AH94" s="483"/>
      <c r="AI94" s="483"/>
      <c r="AJ94" s="451"/>
      <c r="AK94" s="451"/>
      <c r="AL94" s="8"/>
    </row>
    <row r="95" spans="1:41" ht="60" hidden="1">
      <c r="A95" s="8">
        <v>11</v>
      </c>
      <c r="B95" s="328" t="s">
        <v>212</v>
      </c>
      <c r="C95" s="8" t="s">
        <v>213</v>
      </c>
      <c r="D95" s="8"/>
      <c r="E95" s="8" t="s">
        <v>214</v>
      </c>
      <c r="F95" s="21" t="s">
        <v>54</v>
      </c>
      <c r="G95" s="445">
        <f t="shared" si="86"/>
        <v>1260</v>
      </c>
      <c r="H95" s="445">
        <v>1200</v>
      </c>
      <c r="I95" s="445">
        <v>60</v>
      </c>
      <c r="J95" s="451"/>
      <c r="K95" s="483">
        <f t="shared" si="90"/>
        <v>160.5</v>
      </c>
      <c r="L95" s="451">
        <f t="shared" si="91"/>
        <v>160.5</v>
      </c>
      <c r="M95" s="451"/>
      <c r="N95" s="483">
        <f t="shared" si="92"/>
        <v>0.5</v>
      </c>
      <c r="O95" s="451"/>
      <c r="P95" s="451">
        <f t="shared" si="93"/>
        <v>0.5</v>
      </c>
      <c r="Q95" s="466">
        <v>1100</v>
      </c>
      <c r="R95" s="451">
        <v>1039.5</v>
      </c>
      <c r="S95" s="451">
        <v>60.5</v>
      </c>
      <c r="T95" s="451"/>
      <c r="U95" s="448">
        <f t="shared" si="83"/>
        <v>1100</v>
      </c>
      <c r="V95" s="448">
        <f t="shared" si="84"/>
        <v>1039.5</v>
      </c>
      <c r="W95" s="448">
        <f t="shared" si="84"/>
        <v>60.5</v>
      </c>
      <c r="X95" s="445">
        <f t="shared" si="89"/>
        <v>0</v>
      </c>
      <c r="Y95" s="451"/>
      <c r="Z95" s="451"/>
      <c r="AA95" s="493"/>
      <c r="AB95" s="494"/>
      <c r="AC95" s="494"/>
      <c r="AD95" s="451">
        <f t="shared" ref="AD95:AD96" si="94">+AE95+AF95</f>
        <v>1100</v>
      </c>
      <c r="AE95" s="483">
        <v>1039.5</v>
      </c>
      <c r="AF95" s="483">
        <v>60.5</v>
      </c>
      <c r="AG95" s="451"/>
      <c r="AH95" s="483"/>
      <c r="AI95" s="483"/>
      <c r="AJ95" s="451"/>
      <c r="AK95" s="451"/>
      <c r="AL95" s="8"/>
    </row>
    <row r="96" spans="1:41" ht="45" hidden="1">
      <c r="A96" s="8">
        <v>12</v>
      </c>
      <c r="B96" s="328" t="s">
        <v>215</v>
      </c>
      <c r="C96" s="8" t="s">
        <v>210</v>
      </c>
      <c r="D96" s="8"/>
      <c r="E96" s="8" t="s">
        <v>216</v>
      </c>
      <c r="F96" s="21" t="s">
        <v>54</v>
      </c>
      <c r="G96" s="445">
        <f t="shared" si="86"/>
        <v>315</v>
      </c>
      <c r="H96" s="445">
        <v>300</v>
      </c>
      <c r="I96" s="445">
        <v>15</v>
      </c>
      <c r="J96" s="451"/>
      <c r="K96" s="483">
        <f t="shared" si="90"/>
        <v>3.8999999999999773</v>
      </c>
      <c r="L96" s="451">
        <f t="shared" si="91"/>
        <v>3.8999999999999773</v>
      </c>
      <c r="M96" s="451"/>
      <c r="N96" s="483">
        <f t="shared" si="92"/>
        <v>2.1999999999999993</v>
      </c>
      <c r="O96" s="451"/>
      <c r="P96" s="451">
        <f t="shared" si="93"/>
        <v>2.1999999999999993</v>
      </c>
      <c r="Q96" s="466">
        <v>313.3</v>
      </c>
      <c r="R96" s="451">
        <v>296.10000000000002</v>
      </c>
      <c r="S96" s="451">
        <v>17.2</v>
      </c>
      <c r="T96" s="451"/>
      <c r="U96" s="448">
        <f t="shared" si="83"/>
        <v>313.3</v>
      </c>
      <c r="V96" s="448">
        <f t="shared" si="84"/>
        <v>296.10000000000002</v>
      </c>
      <c r="W96" s="448">
        <f t="shared" si="84"/>
        <v>17.2</v>
      </c>
      <c r="X96" s="445">
        <f t="shared" si="89"/>
        <v>0</v>
      </c>
      <c r="Y96" s="451"/>
      <c r="Z96" s="451"/>
      <c r="AA96" s="493"/>
      <c r="AB96" s="494"/>
      <c r="AC96" s="494"/>
      <c r="AD96" s="451">
        <f t="shared" si="94"/>
        <v>313.3</v>
      </c>
      <c r="AE96" s="483">
        <v>296.10000000000002</v>
      </c>
      <c r="AF96" s="483">
        <v>17.2</v>
      </c>
      <c r="AG96" s="451"/>
      <c r="AH96" s="483"/>
      <c r="AI96" s="483"/>
      <c r="AJ96" s="451"/>
      <c r="AK96" s="451"/>
      <c r="AL96" s="8"/>
    </row>
    <row r="97" spans="1:41" ht="45" hidden="1">
      <c r="A97" s="8">
        <v>13</v>
      </c>
      <c r="B97" s="382" t="s">
        <v>217</v>
      </c>
      <c r="C97" s="383" t="s">
        <v>218</v>
      </c>
      <c r="D97" s="383"/>
      <c r="E97" s="22" t="s">
        <v>219</v>
      </c>
      <c r="F97" s="21" t="s">
        <v>55</v>
      </c>
      <c r="G97" s="445">
        <f t="shared" si="86"/>
        <v>630</v>
      </c>
      <c r="H97" s="445">
        <v>600</v>
      </c>
      <c r="I97" s="445">
        <v>30</v>
      </c>
      <c r="J97" s="451"/>
      <c r="K97" s="483">
        <f t="shared" si="82"/>
        <v>0</v>
      </c>
      <c r="L97" s="451"/>
      <c r="M97" s="451"/>
      <c r="N97" s="483"/>
      <c r="O97" s="451"/>
      <c r="P97" s="451"/>
      <c r="Q97" s="445">
        <f t="shared" ref="Q97" si="95">R97+S97</f>
        <v>630</v>
      </c>
      <c r="R97" s="445">
        <v>600</v>
      </c>
      <c r="S97" s="445">
        <v>30</v>
      </c>
      <c r="T97" s="451"/>
      <c r="U97" s="448">
        <f t="shared" si="83"/>
        <v>0</v>
      </c>
      <c r="V97" s="448">
        <f t="shared" si="84"/>
        <v>0</v>
      </c>
      <c r="W97" s="448">
        <f t="shared" si="84"/>
        <v>0</v>
      </c>
      <c r="X97" s="445">
        <f t="shared" si="89"/>
        <v>0</v>
      </c>
      <c r="Y97" s="451"/>
      <c r="Z97" s="451"/>
      <c r="AA97" s="451"/>
      <c r="AB97" s="483"/>
      <c r="AC97" s="483"/>
      <c r="AD97" s="451"/>
      <c r="AE97" s="483"/>
      <c r="AF97" s="483"/>
      <c r="AG97" s="445">
        <f t="shared" ref="AG97" si="96">AH97+AI97</f>
        <v>630</v>
      </c>
      <c r="AH97" s="445">
        <v>600</v>
      </c>
      <c r="AI97" s="445">
        <v>30</v>
      </c>
      <c r="AJ97" s="451"/>
      <c r="AK97" s="451"/>
      <c r="AL97" s="8"/>
    </row>
    <row r="98" spans="1:41" ht="60" hidden="1">
      <c r="A98" s="8">
        <f>+A97+1</f>
        <v>14</v>
      </c>
      <c r="B98" s="495" t="s">
        <v>1113</v>
      </c>
      <c r="C98" s="496" t="s">
        <v>1114</v>
      </c>
      <c r="D98" s="9" t="s">
        <v>55</v>
      </c>
      <c r="E98" s="22" t="s">
        <v>221</v>
      </c>
      <c r="F98" s="9" t="s">
        <v>55</v>
      </c>
      <c r="G98" s="497">
        <f>+H98+I98</f>
        <v>550</v>
      </c>
      <c r="H98" s="497">
        <v>524.15</v>
      </c>
      <c r="I98" s="497">
        <v>25.85</v>
      </c>
      <c r="J98" s="451"/>
      <c r="K98" s="483">
        <f t="shared" si="82"/>
        <v>0</v>
      </c>
      <c r="L98" s="451"/>
      <c r="M98" s="451"/>
      <c r="N98" s="483"/>
      <c r="O98" s="451"/>
      <c r="P98" s="451"/>
      <c r="Q98" s="497">
        <f>+R98+S98</f>
        <v>550</v>
      </c>
      <c r="R98" s="497">
        <v>524.15</v>
      </c>
      <c r="S98" s="497">
        <v>25.85</v>
      </c>
      <c r="T98" s="451"/>
      <c r="U98" s="448">
        <f t="shared" si="83"/>
        <v>0</v>
      </c>
      <c r="V98" s="448">
        <f t="shared" si="84"/>
        <v>0</v>
      </c>
      <c r="W98" s="448">
        <f t="shared" si="84"/>
        <v>0</v>
      </c>
      <c r="X98" s="445">
        <f t="shared" si="89"/>
        <v>0</v>
      </c>
      <c r="Y98" s="451"/>
      <c r="Z98" s="451"/>
      <c r="AA98" s="451"/>
      <c r="AB98" s="483"/>
      <c r="AC98" s="483"/>
      <c r="AD98" s="451"/>
      <c r="AE98" s="483"/>
      <c r="AF98" s="483"/>
      <c r="AG98" s="497">
        <f>+AH98+AI98</f>
        <v>550</v>
      </c>
      <c r="AH98" s="497">
        <v>524.15</v>
      </c>
      <c r="AI98" s="497">
        <v>25.85</v>
      </c>
      <c r="AJ98" s="451"/>
      <c r="AK98" s="451"/>
      <c r="AL98" s="8"/>
    </row>
    <row r="99" spans="1:41" ht="30" hidden="1">
      <c r="A99" s="8">
        <f t="shared" ref="A99:A104" si="97">+A98+1</f>
        <v>15</v>
      </c>
      <c r="B99" s="495" t="s">
        <v>1115</v>
      </c>
      <c r="C99" s="496" t="s">
        <v>1116</v>
      </c>
      <c r="D99" s="9" t="s">
        <v>55</v>
      </c>
      <c r="E99" s="22"/>
      <c r="F99" s="9" t="s">
        <v>55</v>
      </c>
      <c r="G99" s="497">
        <f t="shared" ref="G99:G102" si="98">+H99+I99</f>
        <v>200</v>
      </c>
      <c r="H99" s="497">
        <v>190.5</v>
      </c>
      <c r="I99" s="497">
        <v>9.5</v>
      </c>
      <c r="J99" s="451"/>
      <c r="K99" s="483">
        <f t="shared" si="82"/>
        <v>0</v>
      </c>
      <c r="L99" s="451"/>
      <c r="M99" s="451"/>
      <c r="N99" s="483"/>
      <c r="O99" s="451"/>
      <c r="P99" s="451"/>
      <c r="Q99" s="497">
        <f t="shared" ref="Q99:Q102" si="99">+R99+S99</f>
        <v>200</v>
      </c>
      <c r="R99" s="497">
        <v>190.5</v>
      </c>
      <c r="S99" s="497">
        <v>9.5</v>
      </c>
      <c r="T99" s="451"/>
      <c r="U99" s="448"/>
      <c r="V99" s="448"/>
      <c r="W99" s="448"/>
      <c r="X99" s="445"/>
      <c r="Y99" s="451"/>
      <c r="Z99" s="451"/>
      <c r="AA99" s="451"/>
      <c r="AB99" s="483"/>
      <c r="AC99" s="483"/>
      <c r="AD99" s="451"/>
      <c r="AE99" s="483"/>
      <c r="AF99" s="483"/>
      <c r="AG99" s="497">
        <f t="shared" ref="AG99:AG102" si="100">+AH99+AI99</f>
        <v>200</v>
      </c>
      <c r="AH99" s="497">
        <v>190.5</v>
      </c>
      <c r="AI99" s="497">
        <v>9.5</v>
      </c>
      <c r="AJ99" s="451"/>
      <c r="AK99" s="451"/>
      <c r="AL99" s="8"/>
    </row>
    <row r="100" spans="1:41" ht="45" hidden="1">
      <c r="A100" s="8">
        <f t="shared" si="97"/>
        <v>16</v>
      </c>
      <c r="B100" s="495" t="s">
        <v>1117</v>
      </c>
      <c r="C100" s="496" t="s">
        <v>1118</v>
      </c>
      <c r="D100" s="9" t="s">
        <v>55</v>
      </c>
      <c r="E100" s="22"/>
      <c r="F100" s="9" t="s">
        <v>55</v>
      </c>
      <c r="G100" s="497">
        <f t="shared" si="98"/>
        <v>200</v>
      </c>
      <c r="H100" s="497">
        <v>190.5</v>
      </c>
      <c r="I100" s="497">
        <v>9.5</v>
      </c>
      <c r="J100" s="451"/>
      <c r="K100" s="483">
        <f t="shared" si="82"/>
        <v>0</v>
      </c>
      <c r="L100" s="451"/>
      <c r="M100" s="451"/>
      <c r="N100" s="483"/>
      <c r="O100" s="451"/>
      <c r="P100" s="451"/>
      <c r="Q100" s="497">
        <f t="shared" si="99"/>
        <v>200</v>
      </c>
      <c r="R100" s="497">
        <v>190.5</v>
      </c>
      <c r="S100" s="497">
        <v>9.5</v>
      </c>
      <c r="T100" s="451"/>
      <c r="U100" s="448"/>
      <c r="V100" s="448"/>
      <c r="W100" s="448"/>
      <c r="X100" s="445"/>
      <c r="Y100" s="451"/>
      <c r="Z100" s="451"/>
      <c r="AA100" s="451"/>
      <c r="AB100" s="483"/>
      <c r="AC100" s="483"/>
      <c r="AD100" s="451"/>
      <c r="AE100" s="483"/>
      <c r="AF100" s="483"/>
      <c r="AG100" s="497">
        <f t="shared" si="100"/>
        <v>200</v>
      </c>
      <c r="AH100" s="497">
        <v>190.5</v>
      </c>
      <c r="AI100" s="497">
        <v>9.5</v>
      </c>
      <c r="AJ100" s="451"/>
      <c r="AK100" s="451"/>
      <c r="AL100" s="8"/>
    </row>
    <row r="101" spans="1:41" ht="45" hidden="1">
      <c r="A101" s="8">
        <f t="shared" si="97"/>
        <v>17</v>
      </c>
      <c r="B101" s="495" t="s">
        <v>1119</v>
      </c>
      <c r="C101" s="496" t="s">
        <v>1026</v>
      </c>
      <c r="D101" s="9" t="s">
        <v>55</v>
      </c>
      <c r="E101" s="22"/>
      <c r="F101" s="9" t="s">
        <v>55</v>
      </c>
      <c r="G101" s="497">
        <f t="shared" si="98"/>
        <v>300</v>
      </c>
      <c r="H101" s="497">
        <v>285.5</v>
      </c>
      <c r="I101" s="497">
        <v>14.5</v>
      </c>
      <c r="J101" s="451"/>
      <c r="K101" s="483">
        <f t="shared" si="82"/>
        <v>0</v>
      </c>
      <c r="L101" s="451"/>
      <c r="M101" s="451"/>
      <c r="N101" s="483"/>
      <c r="O101" s="451"/>
      <c r="P101" s="451"/>
      <c r="Q101" s="497">
        <f t="shared" si="99"/>
        <v>300</v>
      </c>
      <c r="R101" s="497">
        <v>285.5</v>
      </c>
      <c r="S101" s="497">
        <v>14.5</v>
      </c>
      <c r="T101" s="451"/>
      <c r="U101" s="448"/>
      <c r="V101" s="448"/>
      <c r="W101" s="448"/>
      <c r="X101" s="445"/>
      <c r="Y101" s="451"/>
      <c r="Z101" s="451"/>
      <c r="AA101" s="451"/>
      <c r="AB101" s="483"/>
      <c r="AC101" s="483"/>
      <c r="AD101" s="451"/>
      <c r="AE101" s="483"/>
      <c r="AF101" s="483"/>
      <c r="AG101" s="497">
        <f t="shared" si="100"/>
        <v>300</v>
      </c>
      <c r="AH101" s="497">
        <v>285.5</v>
      </c>
      <c r="AI101" s="497">
        <v>14.5</v>
      </c>
      <c r="AJ101" s="451"/>
      <c r="AK101" s="451"/>
      <c r="AL101" s="8"/>
    </row>
    <row r="102" spans="1:41" ht="45" hidden="1">
      <c r="A102" s="8">
        <f t="shared" si="97"/>
        <v>18</v>
      </c>
      <c r="B102" s="495" t="s">
        <v>1120</v>
      </c>
      <c r="C102" s="496" t="s">
        <v>1121</v>
      </c>
      <c r="D102" s="9" t="s">
        <v>55</v>
      </c>
      <c r="E102" s="22"/>
      <c r="F102" s="9" t="s">
        <v>55</v>
      </c>
      <c r="G102" s="497">
        <f t="shared" si="98"/>
        <v>239.6</v>
      </c>
      <c r="H102" s="497">
        <v>228</v>
      </c>
      <c r="I102" s="497">
        <v>11.6</v>
      </c>
      <c r="J102" s="451"/>
      <c r="K102" s="483">
        <f t="shared" si="82"/>
        <v>0</v>
      </c>
      <c r="L102" s="451"/>
      <c r="M102" s="451"/>
      <c r="N102" s="483"/>
      <c r="O102" s="451"/>
      <c r="P102" s="451"/>
      <c r="Q102" s="497">
        <f t="shared" si="99"/>
        <v>239.6</v>
      </c>
      <c r="R102" s="497">
        <v>228</v>
      </c>
      <c r="S102" s="497">
        <v>11.6</v>
      </c>
      <c r="T102" s="451"/>
      <c r="U102" s="448"/>
      <c r="V102" s="448"/>
      <c r="W102" s="448"/>
      <c r="X102" s="445"/>
      <c r="Y102" s="451"/>
      <c r="Z102" s="451"/>
      <c r="AA102" s="451"/>
      <c r="AB102" s="483"/>
      <c r="AC102" s="483"/>
      <c r="AD102" s="451"/>
      <c r="AE102" s="483"/>
      <c r="AF102" s="483"/>
      <c r="AG102" s="497">
        <f t="shared" si="100"/>
        <v>239.6</v>
      </c>
      <c r="AH102" s="497">
        <v>228</v>
      </c>
      <c r="AI102" s="497">
        <v>11.6</v>
      </c>
      <c r="AJ102" s="451"/>
      <c r="AK102" s="451"/>
      <c r="AL102" s="8"/>
    </row>
    <row r="103" spans="1:41" ht="30" hidden="1">
      <c r="A103" s="8">
        <f t="shared" si="97"/>
        <v>19</v>
      </c>
      <c r="B103" s="360" t="s">
        <v>802</v>
      </c>
      <c r="C103" s="8" t="s">
        <v>803</v>
      </c>
      <c r="D103" s="8"/>
      <c r="E103" s="22" t="s">
        <v>804</v>
      </c>
      <c r="F103" s="21" t="s">
        <v>55</v>
      </c>
      <c r="G103" s="445">
        <f t="shared" si="86"/>
        <v>498.75</v>
      </c>
      <c r="H103" s="445">
        <v>475</v>
      </c>
      <c r="I103" s="445">
        <f>H103*5%</f>
        <v>23.75</v>
      </c>
      <c r="J103" s="451"/>
      <c r="K103" s="483">
        <f t="shared" si="82"/>
        <v>0</v>
      </c>
      <c r="L103" s="451"/>
      <c r="M103" s="451"/>
      <c r="N103" s="483"/>
      <c r="O103" s="451"/>
      <c r="P103" s="451"/>
      <c r="Q103" s="445">
        <f t="shared" ref="Q103:Q104" si="101">R103+S103</f>
        <v>498.75</v>
      </c>
      <c r="R103" s="445">
        <v>475</v>
      </c>
      <c r="S103" s="445">
        <f>R103*5%</f>
        <v>23.75</v>
      </c>
      <c r="T103" s="451"/>
      <c r="U103" s="448">
        <f t="shared" si="83"/>
        <v>0</v>
      </c>
      <c r="V103" s="448">
        <f t="shared" si="84"/>
        <v>0</v>
      </c>
      <c r="W103" s="448">
        <f t="shared" si="84"/>
        <v>0</v>
      </c>
      <c r="X103" s="445">
        <f t="shared" si="89"/>
        <v>0</v>
      </c>
      <c r="Y103" s="451"/>
      <c r="Z103" s="451"/>
      <c r="AA103" s="451"/>
      <c r="AB103" s="483"/>
      <c r="AC103" s="483"/>
      <c r="AD103" s="451"/>
      <c r="AE103" s="483"/>
      <c r="AF103" s="483"/>
      <c r="AG103" s="445">
        <f t="shared" ref="AG103:AG104" si="102">AH103+AI103</f>
        <v>498.75</v>
      </c>
      <c r="AH103" s="445">
        <v>475</v>
      </c>
      <c r="AI103" s="445">
        <f>AH103*5%</f>
        <v>23.75</v>
      </c>
      <c r="AJ103" s="451"/>
      <c r="AK103" s="451"/>
      <c r="AL103" s="8"/>
    </row>
    <row r="104" spans="1:41" ht="45" hidden="1">
      <c r="A104" s="8">
        <f t="shared" si="97"/>
        <v>20</v>
      </c>
      <c r="B104" s="360" t="s">
        <v>1122</v>
      </c>
      <c r="C104" s="8" t="s">
        <v>1123</v>
      </c>
      <c r="D104" s="8"/>
      <c r="E104" s="22"/>
      <c r="F104" s="21" t="s">
        <v>55</v>
      </c>
      <c r="G104" s="445"/>
      <c r="H104" s="445"/>
      <c r="I104" s="445"/>
      <c r="J104" s="451"/>
      <c r="K104" s="483"/>
      <c r="L104" s="451"/>
      <c r="M104" s="451"/>
      <c r="N104" s="445">
        <f t="shared" ref="N104" si="103">O104+P104</f>
        <v>739.57415999999989</v>
      </c>
      <c r="O104" s="445">
        <f>722.3+9.37416</f>
        <v>731.67415999999992</v>
      </c>
      <c r="P104" s="445">
        <v>7.9</v>
      </c>
      <c r="Q104" s="445">
        <f t="shared" si="101"/>
        <v>739.57415999999989</v>
      </c>
      <c r="R104" s="445">
        <f>722.3+9.37416</f>
        <v>731.67415999999992</v>
      </c>
      <c r="S104" s="445">
        <v>7.9</v>
      </c>
      <c r="T104" s="533" t="s">
        <v>1166</v>
      </c>
      <c r="U104" s="448"/>
      <c r="V104" s="448"/>
      <c r="W104" s="448"/>
      <c r="X104" s="445"/>
      <c r="Y104" s="451"/>
      <c r="Z104" s="451"/>
      <c r="AA104" s="451"/>
      <c r="AB104" s="483"/>
      <c r="AC104" s="483"/>
      <c r="AD104" s="451"/>
      <c r="AE104" s="483"/>
      <c r="AF104" s="483"/>
      <c r="AG104" s="445">
        <f t="shared" si="102"/>
        <v>739.57415999999989</v>
      </c>
      <c r="AH104" s="445">
        <f>722.3+9.37416</f>
        <v>731.67415999999992</v>
      </c>
      <c r="AI104" s="445">
        <v>7.9</v>
      </c>
      <c r="AJ104" s="451"/>
      <c r="AK104" s="451"/>
      <c r="AL104" s="8"/>
    </row>
    <row r="105" spans="1:41" s="14" customFormat="1" ht="23.25" customHeight="1">
      <c r="A105" s="4" t="s">
        <v>993</v>
      </c>
      <c r="B105" s="510" t="s">
        <v>223</v>
      </c>
      <c r="C105" s="418"/>
      <c r="D105" s="418"/>
      <c r="E105" s="417">
        <v>0</v>
      </c>
      <c r="F105" s="417"/>
      <c r="G105" s="446">
        <f>SUM(G106:G119)</f>
        <v>4514.05</v>
      </c>
      <c r="H105" s="446">
        <f t="shared" ref="H105:S105" si="104">SUM(H106:H119)</f>
        <v>4297.9500000000007</v>
      </c>
      <c r="I105" s="446">
        <f t="shared" si="104"/>
        <v>216.1</v>
      </c>
      <c r="J105" s="446">
        <f t="shared" si="104"/>
        <v>0</v>
      </c>
      <c r="K105" s="446">
        <f t="shared" si="104"/>
        <v>514.25409999999988</v>
      </c>
      <c r="L105" s="446">
        <f t="shared" si="104"/>
        <v>497.52</v>
      </c>
      <c r="M105" s="446">
        <f t="shared" si="104"/>
        <v>16.734099999999998</v>
      </c>
      <c r="N105" s="446">
        <f t="shared" si="104"/>
        <v>514.25409999999999</v>
      </c>
      <c r="O105" s="446">
        <f t="shared" si="104"/>
        <v>497.52000000000004</v>
      </c>
      <c r="P105" s="446">
        <f t="shared" si="104"/>
        <v>16.734099999999998</v>
      </c>
      <c r="Q105" s="446">
        <f t="shared" si="104"/>
        <v>4514.05</v>
      </c>
      <c r="R105" s="446">
        <f t="shared" si="104"/>
        <v>4297.9500000000007</v>
      </c>
      <c r="S105" s="446">
        <f t="shared" si="104"/>
        <v>216.1</v>
      </c>
      <c r="T105" s="446"/>
      <c r="U105" s="446">
        <f t="shared" ref="U105:AF105" si="105">SUM(U106:U117)</f>
        <v>3012.2959000000005</v>
      </c>
      <c r="V105" s="446">
        <f t="shared" si="105"/>
        <v>2857.7400000000002</v>
      </c>
      <c r="W105" s="446">
        <f t="shared" si="105"/>
        <v>154.55590000000001</v>
      </c>
      <c r="X105" s="446">
        <f t="shared" si="105"/>
        <v>1113.0999999999999</v>
      </c>
      <c r="Y105" s="446">
        <f t="shared" si="105"/>
        <v>1073.7</v>
      </c>
      <c r="Z105" s="446">
        <f t="shared" si="105"/>
        <v>39.4</v>
      </c>
      <c r="AA105" s="446">
        <f t="shared" si="105"/>
        <v>791.29590000000007</v>
      </c>
      <c r="AB105" s="446">
        <f t="shared" si="105"/>
        <v>737.04</v>
      </c>
      <c r="AC105" s="446">
        <f t="shared" si="105"/>
        <v>54.255899999999997</v>
      </c>
      <c r="AD105" s="446">
        <f t="shared" si="105"/>
        <v>1107.9000000000001</v>
      </c>
      <c r="AE105" s="446">
        <f t="shared" si="105"/>
        <v>1047</v>
      </c>
      <c r="AF105" s="446">
        <f t="shared" si="105"/>
        <v>60.900000000000006</v>
      </c>
      <c r="AG105" s="446">
        <f>SUM(AG106:AG119)</f>
        <v>1500</v>
      </c>
      <c r="AH105" s="446">
        <f>SUM(AH106:AH119)</f>
        <v>1440.21</v>
      </c>
      <c r="AI105" s="446">
        <f>SUM(AI106:AI119)</f>
        <v>59.79</v>
      </c>
      <c r="AJ105" s="446"/>
      <c r="AK105" s="446">
        <f>SUM(AK106:AK117)</f>
        <v>0</v>
      </c>
      <c r="AL105" s="16"/>
      <c r="AM105" s="368">
        <f>+'NĂM 2022'!K46+'NĂM 2023'!N45+'NĂM 2024'!J48+'NĂM 2025'!J43</f>
        <v>4514.05</v>
      </c>
      <c r="AN105" s="368">
        <f>+'NĂM 2022'!L46+'NĂM 2023'!O45+'NĂM 2024'!K48+'NĂM 2025'!K43</f>
        <v>4297.9500000000007</v>
      </c>
      <c r="AO105" s="368">
        <f>+'NĂM 2022'!M46+'NĂM 2023'!P45+'NĂM 2024'!L48+'NĂM 2025'!L43</f>
        <v>216.1</v>
      </c>
    </row>
    <row r="106" spans="1:41" s="146" customFormat="1" ht="60" hidden="1">
      <c r="A106" s="141">
        <v>1</v>
      </c>
      <c r="B106" s="325" t="s">
        <v>224</v>
      </c>
      <c r="C106" s="141" t="s">
        <v>225</v>
      </c>
      <c r="D106" s="141"/>
      <c r="E106" s="141" t="s">
        <v>226</v>
      </c>
      <c r="F106" s="151" t="s">
        <v>52</v>
      </c>
      <c r="G106" s="447">
        <f t="shared" si="86"/>
        <v>270.85000000000002</v>
      </c>
      <c r="H106" s="447">
        <v>257.85000000000002</v>
      </c>
      <c r="I106" s="447">
        <v>13</v>
      </c>
      <c r="J106" s="448"/>
      <c r="K106" s="483">
        <f>+G106-Q106</f>
        <v>0</v>
      </c>
      <c r="L106" s="448"/>
      <c r="M106" s="448"/>
      <c r="N106" s="483"/>
      <c r="O106" s="448"/>
      <c r="P106" s="448"/>
      <c r="Q106" s="466">
        <v>270.85000000000002</v>
      </c>
      <c r="R106" s="448">
        <v>257.85000000000002</v>
      </c>
      <c r="S106" s="448">
        <v>13</v>
      </c>
      <c r="T106" s="448"/>
      <c r="U106" s="448">
        <f>+V106+W106</f>
        <v>270.85000000000002</v>
      </c>
      <c r="V106" s="448">
        <f>+Y106+AB106+AE106</f>
        <v>257.85000000000002</v>
      </c>
      <c r="W106" s="448">
        <f>+Z106+AC106+AF106</f>
        <v>13</v>
      </c>
      <c r="X106" s="445">
        <f t="shared" si="89"/>
        <v>270.85000000000002</v>
      </c>
      <c r="Y106" s="447">
        <v>257.85000000000002</v>
      </c>
      <c r="Z106" s="447">
        <v>13</v>
      </c>
      <c r="AA106" s="447"/>
      <c r="AB106" s="481"/>
      <c r="AC106" s="481"/>
      <c r="AD106" s="447"/>
      <c r="AE106" s="481"/>
      <c r="AF106" s="481"/>
      <c r="AG106" s="447"/>
      <c r="AH106" s="481"/>
      <c r="AI106" s="481"/>
      <c r="AJ106" s="447"/>
      <c r="AK106" s="448"/>
      <c r="AL106" s="145"/>
      <c r="AM106" s="465">
        <f>+G105-U105</f>
        <v>1501.7540999999997</v>
      </c>
      <c r="AN106" s="465">
        <f>+H105-V105</f>
        <v>1440.2100000000005</v>
      </c>
      <c r="AO106" s="465">
        <f>+I105-W105</f>
        <v>61.544099999999986</v>
      </c>
    </row>
    <row r="107" spans="1:41" s="146" customFormat="1" ht="60" hidden="1">
      <c r="A107" s="141">
        <f>+A106+1</f>
        <v>2</v>
      </c>
      <c r="B107" s="325" t="s">
        <v>227</v>
      </c>
      <c r="C107" s="141" t="s">
        <v>228</v>
      </c>
      <c r="D107" s="141"/>
      <c r="E107" s="141" t="s">
        <v>229</v>
      </c>
      <c r="F107" s="151" t="s">
        <v>52</v>
      </c>
      <c r="G107" s="447">
        <f t="shared" si="86"/>
        <v>629.85</v>
      </c>
      <c r="H107" s="447">
        <v>599.85</v>
      </c>
      <c r="I107" s="447">
        <v>30</v>
      </c>
      <c r="J107" s="448"/>
      <c r="K107" s="483">
        <f>+L107+M107</f>
        <v>1.7541000000000011</v>
      </c>
      <c r="L107" s="448"/>
      <c r="M107" s="448">
        <f>+I107-S107</f>
        <v>1.7541000000000011</v>
      </c>
      <c r="N107" s="483"/>
      <c r="O107" s="448"/>
      <c r="P107" s="448"/>
      <c r="Q107" s="466">
        <v>628.09590000000003</v>
      </c>
      <c r="R107" s="448">
        <v>599.85</v>
      </c>
      <c r="S107" s="448">
        <v>28.245899999999999</v>
      </c>
      <c r="T107" s="448"/>
      <c r="U107" s="448">
        <f t="shared" ref="U107:U117" si="106">+V107+W107</f>
        <v>628.09590000000003</v>
      </c>
      <c r="V107" s="448">
        <f t="shared" ref="V107:W117" si="107">+Y107+AB107+AE107</f>
        <v>599.85</v>
      </c>
      <c r="W107" s="448">
        <f t="shared" si="107"/>
        <v>28.245899999999999</v>
      </c>
      <c r="X107" s="445">
        <f t="shared" si="89"/>
        <v>572.4</v>
      </c>
      <c r="Y107" s="447">
        <v>558</v>
      </c>
      <c r="Z107" s="447">
        <v>14.4</v>
      </c>
      <c r="AA107" s="447">
        <f>+AB107+AC107</f>
        <v>55.695900000000002</v>
      </c>
      <c r="AB107" s="481">
        <v>41.85</v>
      </c>
      <c r="AC107" s="481">
        <f>15.6-1.7541</f>
        <v>13.8459</v>
      </c>
      <c r="AD107" s="447"/>
      <c r="AE107" s="481"/>
      <c r="AF107" s="481"/>
      <c r="AG107" s="447"/>
      <c r="AH107" s="481"/>
      <c r="AI107" s="481"/>
      <c r="AJ107" s="447"/>
      <c r="AK107" s="448"/>
      <c r="AL107" s="145"/>
      <c r="AM107" s="369">
        <f>+AM106-AG105</f>
        <v>1.7540999999996529</v>
      </c>
      <c r="AN107" s="369">
        <f t="shared" ref="AN107:AO107" si="108">+AN106-AH105</f>
        <v>0</v>
      </c>
      <c r="AO107" s="369">
        <f t="shared" si="108"/>
        <v>1.7540999999999869</v>
      </c>
    </row>
    <row r="108" spans="1:41" s="146" customFormat="1" ht="75" hidden="1">
      <c r="A108" s="141">
        <f t="shared" ref="A108:A119" si="109">+A107+1</f>
        <v>3</v>
      </c>
      <c r="B108" s="325" t="s">
        <v>230</v>
      </c>
      <c r="C108" s="141" t="s">
        <v>231</v>
      </c>
      <c r="D108" s="141"/>
      <c r="E108" s="141" t="s">
        <v>110</v>
      </c>
      <c r="F108" s="151" t="s">
        <v>52</v>
      </c>
      <c r="G108" s="447">
        <f t="shared" si="86"/>
        <v>269.85000000000002</v>
      </c>
      <c r="H108" s="447">
        <v>257.85000000000002</v>
      </c>
      <c r="I108" s="447">
        <v>12</v>
      </c>
      <c r="J108" s="448"/>
      <c r="K108" s="483">
        <f t="shared" ref="K108:K117" si="110">+G108-Q108</f>
        <v>0</v>
      </c>
      <c r="L108" s="448"/>
      <c r="M108" s="448"/>
      <c r="N108" s="483"/>
      <c r="O108" s="448"/>
      <c r="P108" s="448"/>
      <c r="Q108" s="466">
        <v>269.85000000000002</v>
      </c>
      <c r="R108" s="448">
        <v>257.85000000000002</v>
      </c>
      <c r="S108" s="448">
        <v>12</v>
      </c>
      <c r="T108" s="448"/>
      <c r="U108" s="448">
        <f t="shared" si="106"/>
        <v>269.85000000000002</v>
      </c>
      <c r="V108" s="448">
        <f t="shared" si="107"/>
        <v>257.85000000000002</v>
      </c>
      <c r="W108" s="448">
        <f t="shared" si="107"/>
        <v>12</v>
      </c>
      <c r="X108" s="445">
        <f t="shared" si="89"/>
        <v>269.85000000000002</v>
      </c>
      <c r="Y108" s="447">
        <v>257.85000000000002</v>
      </c>
      <c r="Z108" s="447">
        <v>12</v>
      </c>
      <c r="AA108" s="447"/>
      <c r="AB108" s="481"/>
      <c r="AC108" s="481"/>
      <c r="AD108" s="447"/>
      <c r="AE108" s="481"/>
      <c r="AF108" s="481"/>
      <c r="AG108" s="447"/>
      <c r="AH108" s="481"/>
      <c r="AI108" s="481"/>
      <c r="AJ108" s="447"/>
      <c r="AK108" s="448"/>
      <c r="AL108" s="145"/>
      <c r="AM108" s="369"/>
      <c r="AN108" s="369"/>
      <c r="AO108" s="369"/>
    </row>
    <row r="109" spans="1:41" s="146" customFormat="1" ht="60" hidden="1">
      <c r="A109" s="141">
        <f t="shared" si="109"/>
        <v>4</v>
      </c>
      <c r="B109" s="325" t="s">
        <v>232</v>
      </c>
      <c r="C109" s="141" t="s">
        <v>225</v>
      </c>
      <c r="D109" s="141"/>
      <c r="E109" s="141" t="s">
        <v>226</v>
      </c>
      <c r="F109" s="151" t="s">
        <v>53</v>
      </c>
      <c r="G109" s="447">
        <f t="shared" si="86"/>
        <v>357</v>
      </c>
      <c r="H109" s="447">
        <v>342</v>
      </c>
      <c r="I109" s="447">
        <v>15</v>
      </c>
      <c r="J109" s="448"/>
      <c r="K109" s="483"/>
      <c r="L109" s="448"/>
      <c r="M109" s="448"/>
      <c r="N109" s="483">
        <f>+O109+P109</f>
        <v>14.249999999999989</v>
      </c>
      <c r="O109" s="448">
        <f>+R109-H109</f>
        <v>7.5099999999999909</v>
      </c>
      <c r="P109" s="448">
        <f>+S109-I109</f>
        <v>6.7399999999999984</v>
      </c>
      <c r="Q109" s="466">
        <v>371.25</v>
      </c>
      <c r="R109" s="448">
        <v>349.51</v>
      </c>
      <c r="S109" s="448">
        <v>21.74</v>
      </c>
      <c r="T109" s="448"/>
      <c r="U109" s="448">
        <f t="shared" si="106"/>
        <v>371.25</v>
      </c>
      <c r="V109" s="448">
        <f t="shared" si="107"/>
        <v>349.51</v>
      </c>
      <c r="W109" s="448">
        <f t="shared" si="107"/>
        <v>21.74</v>
      </c>
      <c r="X109" s="445">
        <f t="shared" si="89"/>
        <v>0</v>
      </c>
      <c r="Y109" s="448"/>
      <c r="Z109" s="448"/>
      <c r="AA109" s="448">
        <f>+AB109+AC109</f>
        <v>371.25</v>
      </c>
      <c r="AB109" s="483">
        <v>349.51</v>
      </c>
      <c r="AC109" s="483">
        <v>21.74</v>
      </c>
      <c r="AD109" s="448"/>
      <c r="AE109" s="483"/>
      <c r="AF109" s="483"/>
      <c r="AG109" s="448"/>
      <c r="AH109" s="483"/>
      <c r="AI109" s="483"/>
      <c r="AJ109" s="448"/>
      <c r="AK109" s="448"/>
      <c r="AL109" s="145"/>
      <c r="AM109" s="369"/>
      <c r="AN109" s="369"/>
      <c r="AO109" s="369"/>
    </row>
    <row r="110" spans="1:41" s="146" customFormat="1" ht="75" hidden="1">
      <c r="A110" s="141">
        <f t="shared" si="109"/>
        <v>5</v>
      </c>
      <c r="B110" s="325" t="s">
        <v>233</v>
      </c>
      <c r="C110" s="141" t="s">
        <v>231</v>
      </c>
      <c r="D110" s="141"/>
      <c r="E110" s="141" t="s">
        <v>110</v>
      </c>
      <c r="F110" s="151" t="s">
        <v>53</v>
      </c>
      <c r="G110" s="447">
        <f t="shared" si="86"/>
        <v>359.1</v>
      </c>
      <c r="H110" s="447">
        <v>342</v>
      </c>
      <c r="I110" s="447">
        <v>17.100000000000001</v>
      </c>
      <c r="J110" s="448"/>
      <c r="K110" s="483"/>
      <c r="L110" s="448"/>
      <c r="M110" s="448"/>
      <c r="N110" s="483">
        <f t="shared" ref="N110:N111" si="111">+O110+P110</f>
        <v>5.2500000000000071</v>
      </c>
      <c r="O110" s="448">
        <f t="shared" ref="O110:P111" si="112">+R110-H110</f>
        <v>3.6800000000000068</v>
      </c>
      <c r="P110" s="448">
        <f t="shared" si="112"/>
        <v>1.5700000000000003</v>
      </c>
      <c r="Q110" s="466">
        <v>364.35</v>
      </c>
      <c r="R110" s="448">
        <v>345.68</v>
      </c>
      <c r="S110" s="448">
        <v>18.670000000000002</v>
      </c>
      <c r="T110" s="448"/>
      <c r="U110" s="448">
        <f t="shared" si="106"/>
        <v>364.35</v>
      </c>
      <c r="V110" s="448">
        <f t="shared" si="107"/>
        <v>345.68</v>
      </c>
      <c r="W110" s="448">
        <f t="shared" si="107"/>
        <v>18.670000000000002</v>
      </c>
      <c r="X110" s="445">
        <f t="shared" si="89"/>
        <v>0</v>
      </c>
      <c r="Y110" s="448"/>
      <c r="Z110" s="448"/>
      <c r="AA110" s="448">
        <f>+AB110+AC110</f>
        <v>364.35</v>
      </c>
      <c r="AB110" s="483">
        <v>345.68</v>
      </c>
      <c r="AC110" s="483">
        <v>18.670000000000002</v>
      </c>
      <c r="AD110" s="448"/>
      <c r="AE110" s="483"/>
      <c r="AF110" s="483"/>
      <c r="AG110" s="448"/>
      <c r="AH110" s="483"/>
      <c r="AI110" s="483"/>
      <c r="AJ110" s="448"/>
      <c r="AK110" s="448"/>
      <c r="AL110" s="145"/>
      <c r="AM110" s="369"/>
      <c r="AN110" s="369"/>
      <c r="AO110" s="369"/>
    </row>
    <row r="111" spans="1:41" s="146" customFormat="1" ht="75" hidden="1">
      <c r="A111" s="141">
        <f t="shared" si="109"/>
        <v>6</v>
      </c>
      <c r="B111" s="325" t="s">
        <v>234</v>
      </c>
      <c r="C111" s="141" t="s">
        <v>231</v>
      </c>
      <c r="D111" s="141"/>
      <c r="E111" s="141" t="s">
        <v>235</v>
      </c>
      <c r="F111" s="151" t="s">
        <v>53</v>
      </c>
      <c r="G111" s="447">
        <f t="shared" si="86"/>
        <v>320</v>
      </c>
      <c r="H111" s="447">
        <v>300</v>
      </c>
      <c r="I111" s="447">
        <v>20</v>
      </c>
      <c r="J111" s="448"/>
      <c r="K111" s="483"/>
      <c r="L111" s="448"/>
      <c r="M111" s="448"/>
      <c r="N111" s="483">
        <f t="shared" si="111"/>
        <v>49.3</v>
      </c>
      <c r="O111" s="448">
        <f t="shared" si="112"/>
        <v>49</v>
      </c>
      <c r="P111" s="448">
        <f t="shared" si="112"/>
        <v>0.30000000000000071</v>
      </c>
      <c r="Q111" s="466">
        <v>369.3</v>
      </c>
      <c r="R111" s="448">
        <v>349</v>
      </c>
      <c r="S111" s="448">
        <v>20.3</v>
      </c>
      <c r="T111" s="448"/>
      <c r="U111" s="448">
        <f t="shared" si="106"/>
        <v>369.3</v>
      </c>
      <c r="V111" s="448">
        <f t="shared" si="107"/>
        <v>349</v>
      </c>
      <c r="W111" s="448">
        <f t="shared" si="107"/>
        <v>20.3</v>
      </c>
      <c r="X111" s="445">
        <f t="shared" si="89"/>
        <v>0</v>
      </c>
      <c r="Y111" s="448"/>
      <c r="Z111" s="448"/>
      <c r="AA111" s="448"/>
      <c r="AB111" s="483"/>
      <c r="AC111" s="483"/>
      <c r="AD111" s="448">
        <f>+AE111+AF111</f>
        <v>369.3</v>
      </c>
      <c r="AE111" s="483">
        <v>349</v>
      </c>
      <c r="AF111" s="483">
        <v>20.3</v>
      </c>
      <c r="AG111" s="448"/>
      <c r="AH111" s="483"/>
      <c r="AI111" s="483"/>
      <c r="AJ111" s="448"/>
      <c r="AK111" s="448"/>
      <c r="AL111" s="145"/>
      <c r="AM111" s="369"/>
      <c r="AN111" s="369"/>
      <c r="AO111" s="369"/>
    </row>
    <row r="112" spans="1:41" s="146" customFormat="1" ht="45" hidden="1">
      <c r="A112" s="141">
        <f t="shared" si="109"/>
        <v>7</v>
      </c>
      <c r="B112" s="325" t="s">
        <v>236</v>
      </c>
      <c r="C112" s="141" t="s">
        <v>228</v>
      </c>
      <c r="D112" s="141"/>
      <c r="E112" s="141" t="s">
        <v>237</v>
      </c>
      <c r="F112" s="151" t="s">
        <v>53</v>
      </c>
      <c r="G112" s="447">
        <f t="shared" si="86"/>
        <v>630</v>
      </c>
      <c r="H112" s="447">
        <v>600</v>
      </c>
      <c r="I112" s="447">
        <v>30</v>
      </c>
      <c r="J112" s="448"/>
      <c r="K112" s="483">
        <f t="shared" si="110"/>
        <v>260.7</v>
      </c>
      <c r="L112" s="448">
        <f>+H112-R112</f>
        <v>251</v>
      </c>
      <c r="M112" s="448">
        <f>+I112-S112</f>
        <v>9.6999999999999993</v>
      </c>
      <c r="N112" s="483"/>
      <c r="O112" s="448"/>
      <c r="P112" s="448"/>
      <c r="Q112" s="466">
        <v>369.3</v>
      </c>
      <c r="R112" s="448">
        <v>349</v>
      </c>
      <c r="S112" s="448">
        <v>20.3</v>
      </c>
      <c r="T112" s="448"/>
      <c r="U112" s="448">
        <f t="shared" si="106"/>
        <v>369.3</v>
      </c>
      <c r="V112" s="448">
        <f t="shared" si="107"/>
        <v>349</v>
      </c>
      <c r="W112" s="448">
        <f t="shared" si="107"/>
        <v>20.3</v>
      </c>
      <c r="X112" s="445">
        <f t="shared" si="89"/>
        <v>0</v>
      </c>
      <c r="Y112" s="448"/>
      <c r="Z112" s="448"/>
      <c r="AA112" s="448"/>
      <c r="AB112" s="483"/>
      <c r="AC112" s="483"/>
      <c r="AD112" s="448">
        <f>+AE112+AF112</f>
        <v>369.3</v>
      </c>
      <c r="AE112" s="483">
        <v>349</v>
      </c>
      <c r="AF112" s="483">
        <v>20.3</v>
      </c>
      <c r="AG112" s="448"/>
      <c r="AH112" s="483"/>
      <c r="AI112" s="483"/>
      <c r="AJ112" s="448"/>
      <c r="AK112" s="448"/>
      <c r="AL112" s="145"/>
      <c r="AM112" s="369"/>
      <c r="AN112" s="369"/>
      <c r="AO112" s="369"/>
    </row>
    <row r="113" spans="1:41" s="146" customFormat="1" ht="75" hidden="1">
      <c r="A113" s="141">
        <f t="shared" si="109"/>
        <v>8</v>
      </c>
      <c r="B113" s="325" t="s">
        <v>242</v>
      </c>
      <c r="C113" s="141" t="s">
        <v>225</v>
      </c>
      <c r="D113" s="141"/>
      <c r="E113" s="141" t="s">
        <v>104</v>
      </c>
      <c r="F113" s="141" t="s">
        <v>54</v>
      </c>
      <c r="G113" s="447">
        <f>H113+I113</f>
        <v>557.79999999999995</v>
      </c>
      <c r="H113" s="447">
        <v>532.79999999999995</v>
      </c>
      <c r="I113" s="447">
        <v>25</v>
      </c>
      <c r="J113" s="448"/>
      <c r="K113" s="483">
        <f t="shared" si="110"/>
        <v>188.49999999999994</v>
      </c>
      <c r="L113" s="448">
        <f>+H113-R113</f>
        <v>183.79999999999995</v>
      </c>
      <c r="M113" s="448">
        <f>+I113-S113</f>
        <v>4.6999999999999993</v>
      </c>
      <c r="N113" s="483"/>
      <c r="O113" s="448"/>
      <c r="P113" s="448"/>
      <c r="Q113" s="466">
        <v>369.3</v>
      </c>
      <c r="R113" s="448">
        <v>349</v>
      </c>
      <c r="S113" s="448">
        <v>20.3</v>
      </c>
      <c r="T113" s="448"/>
      <c r="U113" s="448">
        <f>+V113+W113</f>
        <v>369.3</v>
      </c>
      <c r="V113" s="448">
        <f>+Y113+AB113+AE113</f>
        <v>349</v>
      </c>
      <c r="W113" s="448">
        <f>+Z113+AC113+AF113</f>
        <v>20.3</v>
      </c>
      <c r="X113" s="445">
        <f>Y113+Z113</f>
        <v>0</v>
      </c>
      <c r="Y113" s="448"/>
      <c r="Z113" s="448"/>
      <c r="AA113" s="448"/>
      <c r="AB113" s="483"/>
      <c r="AC113" s="483"/>
      <c r="AD113" s="448">
        <f>+AE113+AF113</f>
        <v>369.3</v>
      </c>
      <c r="AE113" s="483">
        <v>349</v>
      </c>
      <c r="AF113" s="483">
        <v>20.3</v>
      </c>
      <c r="AG113" s="448"/>
      <c r="AH113" s="483"/>
      <c r="AI113" s="483"/>
      <c r="AJ113" s="448"/>
      <c r="AK113" s="448"/>
      <c r="AL113" s="145"/>
      <c r="AM113" s="369"/>
      <c r="AN113" s="369"/>
      <c r="AO113" s="369"/>
    </row>
    <row r="114" spans="1:41" s="146" customFormat="1" ht="75" hidden="1">
      <c r="A114" s="141">
        <f t="shared" si="109"/>
        <v>9</v>
      </c>
      <c r="B114" s="325" t="s">
        <v>238</v>
      </c>
      <c r="C114" s="141" t="s">
        <v>225</v>
      </c>
      <c r="D114" s="141"/>
      <c r="E114" s="141" t="s">
        <v>239</v>
      </c>
      <c r="F114" s="151" t="s">
        <v>53</v>
      </c>
      <c r="G114" s="447">
        <f t="shared" si="86"/>
        <v>315</v>
      </c>
      <c r="H114" s="447">
        <v>300</v>
      </c>
      <c r="I114" s="447">
        <v>15</v>
      </c>
      <c r="J114" s="448"/>
      <c r="K114" s="483">
        <f t="shared" si="110"/>
        <v>0</v>
      </c>
      <c r="L114" s="448"/>
      <c r="M114" s="448"/>
      <c r="N114" s="483"/>
      <c r="O114" s="448"/>
      <c r="P114" s="448"/>
      <c r="Q114" s="447">
        <f t="shared" ref="Q114:Q117" si="113">R114+S114</f>
        <v>315</v>
      </c>
      <c r="R114" s="447">
        <v>300</v>
      </c>
      <c r="S114" s="447">
        <v>15</v>
      </c>
      <c r="T114" s="448"/>
      <c r="U114" s="448">
        <f t="shared" si="106"/>
        <v>0</v>
      </c>
      <c r="V114" s="448">
        <f t="shared" si="107"/>
        <v>0</v>
      </c>
      <c r="W114" s="448">
        <f t="shared" si="107"/>
        <v>0</v>
      </c>
      <c r="X114" s="445">
        <f t="shared" si="89"/>
        <v>0</v>
      </c>
      <c r="Y114" s="448"/>
      <c r="Z114" s="448"/>
      <c r="AA114" s="448"/>
      <c r="AB114" s="483"/>
      <c r="AC114" s="483"/>
      <c r="AD114" s="448"/>
      <c r="AE114" s="483"/>
      <c r="AF114" s="483"/>
      <c r="AG114" s="447">
        <f t="shared" ref="AG114:AG117" si="114">AH114+AI114</f>
        <v>315</v>
      </c>
      <c r="AH114" s="447">
        <v>300</v>
      </c>
      <c r="AI114" s="447">
        <v>15</v>
      </c>
      <c r="AJ114" s="448"/>
      <c r="AK114" s="448"/>
      <c r="AL114" s="145"/>
      <c r="AM114" s="369"/>
      <c r="AN114" s="369"/>
      <c r="AO114" s="369"/>
    </row>
    <row r="115" spans="1:41" s="146" customFormat="1" ht="45" hidden="1">
      <c r="A115" s="141">
        <f t="shared" si="109"/>
        <v>10</v>
      </c>
      <c r="B115" s="325" t="s">
        <v>240</v>
      </c>
      <c r="C115" s="141" t="s">
        <v>231</v>
      </c>
      <c r="D115" s="141"/>
      <c r="E115" s="141" t="s">
        <v>241</v>
      </c>
      <c r="F115" s="141" t="s">
        <v>54</v>
      </c>
      <c r="G115" s="447">
        <f t="shared" si="86"/>
        <v>315</v>
      </c>
      <c r="H115" s="447">
        <v>300</v>
      </c>
      <c r="I115" s="447">
        <v>15</v>
      </c>
      <c r="J115" s="448"/>
      <c r="K115" s="483">
        <f t="shared" si="110"/>
        <v>63.300000000000011</v>
      </c>
      <c r="L115" s="448">
        <f>+H115-R115</f>
        <v>62.72</v>
      </c>
      <c r="M115" s="448">
        <f>+I115-S115</f>
        <v>0.58000000000000007</v>
      </c>
      <c r="N115" s="483"/>
      <c r="O115" s="448"/>
      <c r="P115" s="448"/>
      <c r="Q115" s="447">
        <f t="shared" si="113"/>
        <v>251.7</v>
      </c>
      <c r="R115" s="447">
        <v>237.28</v>
      </c>
      <c r="S115" s="447">
        <v>14.42</v>
      </c>
      <c r="T115" s="448"/>
      <c r="U115" s="448">
        <f t="shared" si="106"/>
        <v>0</v>
      </c>
      <c r="V115" s="448">
        <f t="shared" si="107"/>
        <v>0</v>
      </c>
      <c r="W115" s="448">
        <f t="shared" si="107"/>
        <v>0</v>
      </c>
      <c r="X115" s="445">
        <f t="shared" si="89"/>
        <v>0</v>
      </c>
      <c r="Y115" s="448"/>
      <c r="Z115" s="448"/>
      <c r="AA115" s="448"/>
      <c r="AB115" s="483"/>
      <c r="AC115" s="483"/>
      <c r="AD115" s="448"/>
      <c r="AE115" s="483"/>
      <c r="AF115" s="483"/>
      <c r="AG115" s="447">
        <f t="shared" si="114"/>
        <v>251.7</v>
      </c>
      <c r="AH115" s="447">
        <v>237.28</v>
      </c>
      <c r="AI115" s="447">
        <v>14.42</v>
      </c>
      <c r="AJ115" s="448"/>
      <c r="AK115" s="448"/>
      <c r="AL115" s="145"/>
      <c r="AM115" s="369"/>
      <c r="AN115" s="369"/>
      <c r="AO115" s="369"/>
    </row>
    <row r="116" spans="1:41" s="146" customFormat="1" ht="75" hidden="1">
      <c r="A116" s="141">
        <f t="shared" si="109"/>
        <v>11</v>
      </c>
      <c r="B116" s="325" t="s">
        <v>243</v>
      </c>
      <c r="C116" s="141" t="s">
        <v>231</v>
      </c>
      <c r="D116" s="141"/>
      <c r="E116" s="141" t="s">
        <v>159</v>
      </c>
      <c r="F116" s="141" t="s">
        <v>55</v>
      </c>
      <c r="G116" s="447">
        <f t="shared" si="86"/>
        <v>244.8</v>
      </c>
      <c r="H116" s="447">
        <v>232.8</v>
      </c>
      <c r="I116" s="447">
        <v>12</v>
      </c>
      <c r="J116" s="448"/>
      <c r="K116" s="483">
        <f t="shared" si="110"/>
        <v>0</v>
      </c>
      <c r="L116" s="448"/>
      <c r="M116" s="448"/>
      <c r="N116" s="483"/>
      <c r="O116" s="448"/>
      <c r="P116" s="448"/>
      <c r="Q116" s="447">
        <f t="shared" si="113"/>
        <v>244.8</v>
      </c>
      <c r="R116" s="447">
        <v>232.8</v>
      </c>
      <c r="S116" s="447">
        <v>12</v>
      </c>
      <c r="T116" s="448"/>
      <c r="U116" s="448">
        <f t="shared" si="106"/>
        <v>0</v>
      </c>
      <c r="V116" s="448">
        <f t="shared" si="107"/>
        <v>0</v>
      </c>
      <c r="W116" s="448">
        <f t="shared" si="107"/>
        <v>0</v>
      </c>
      <c r="X116" s="445">
        <f t="shared" si="89"/>
        <v>0</v>
      </c>
      <c r="Y116" s="448"/>
      <c r="Z116" s="448"/>
      <c r="AA116" s="448"/>
      <c r="AB116" s="483"/>
      <c r="AC116" s="483"/>
      <c r="AD116" s="448"/>
      <c r="AE116" s="483"/>
      <c r="AF116" s="483"/>
      <c r="AG116" s="447">
        <f t="shared" si="114"/>
        <v>244.8</v>
      </c>
      <c r="AH116" s="447">
        <v>232.8</v>
      </c>
      <c r="AI116" s="447">
        <v>12</v>
      </c>
      <c r="AJ116" s="448"/>
      <c r="AK116" s="448"/>
      <c r="AL116" s="145"/>
      <c r="AM116" s="369"/>
      <c r="AN116" s="369"/>
      <c r="AO116" s="369"/>
    </row>
    <row r="117" spans="1:41" s="146" customFormat="1" ht="75" hidden="1">
      <c r="A117" s="141">
        <f t="shared" si="109"/>
        <v>12</v>
      </c>
      <c r="B117" s="325" t="s">
        <v>244</v>
      </c>
      <c r="C117" s="141" t="s">
        <v>228</v>
      </c>
      <c r="D117" s="141"/>
      <c r="E117" s="141" t="s">
        <v>159</v>
      </c>
      <c r="F117" s="141" t="s">
        <v>55</v>
      </c>
      <c r="G117" s="447">
        <f t="shared" si="86"/>
        <v>244.8</v>
      </c>
      <c r="H117" s="447">
        <v>232.8</v>
      </c>
      <c r="I117" s="447">
        <v>12</v>
      </c>
      <c r="J117" s="448"/>
      <c r="K117" s="483">
        <f t="shared" si="110"/>
        <v>0</v>
      </c>
      <c r="L117" s="448"/>
      <c r="M117" s="448"/>
      <c r="N117" s="483"/>
      <c r="O117" s="448"/>
      <c r="P117" s="448"/>
      <c r="Q117" s="447">
        <f t="shared" si="113"/>
        <v>244.8</v>
      </c>
      <c r="R117" s="447">
        <v>232.8</v>
      </c>
      <c r="S117" s="447">
        <v>12</v>
      </c>
      <c r="T117" s="448"/>
      <c r="U117" s="448">
        <f t="shared" si="106"/>
        <v>0</v>
      </c>
      <c r="V117" s="448">
        <f t="shared" si="107"/>
        <v>0</v>
      </c>
      <c r="W117" s="448">
        <f t="shared" si="107"/>
        <v>0</v>
      </c>
      <c r="X117" s="445">
        <f t="shared" si="89"/>
        <v>0</v>
      </c>
      <c r="Y117" s="448"/>
      <c r="Z117" s="448"/>
      <c r="AA117" s="448"/>
      <c r="AB117" s="483"/>
      <c r="AC117" s="483"/>
      <c r="AD117" s="448"/>
      <c r="AE117" s="483"/>
      <c r="AF117" s="483"/>
      <c r="AG117" s="447">
        <f t="shared" si="114"/>
        <v>244.8</v>
      </c>
      <c r="AH117" s="447">
        <v>232.8</v>
      </c>
      <c r="AI117" s="447">
        <v>12</v>
      </c>
      <c r="AJ117" s="448"/>
      <c r="AK117" s="448"/>
      <c r="AL117" s="145"/>
      <c r="AM117" s="369"/>
      <c r="AN117" s="369"/>
      <c r="AO117" s="369"/>
    </row>
    <row r="118" spans="1:41" s="146" customFormat="1" ht="45" hidden="1">
      <c r="A118" s="141">
        <f t="shared" si="109"/>
        <v>13</v>
      </c>
      <c r="B118" s="325" t="s">
        <v>1144</v>
      </c>
      <c r="C118" s="141" t="s">
        <v>228</v>
      </c>
      <c r="D118" s="141"/>
      <c r="E118" s="141"/>
      <c r="F118" s="141" t="s">
        <v>55</v>
      </c>
      <c r="G118" s="447"/>
      <c r="H118" s="447"/>
      <c r="I118" s="447"/>
      <c r="J118" s="448"/>
      <c r="K118" s="483"/>
      <c r="L118" s="448"/>
      <c r="M118" s="448"/>
      <c r="N118" s="448">
        <f>+O118+P118</f>
        <v>257.80410000000001</v>
      </c>
      <c r="O118" s="483">
        <v>252.4</v>
      </c>
      <c r="P118" s="483">
        <f>3.65+1.7541</f>
        <v>5.4040999999999997</v>
      </c>
      <c r="Q118" s="448">
        <f>+R118+S118</f>
        <v>257.80410000000001</v>
      </c>
      <c r="R118" s="483">
        <v>252.4</v>
      </c>
      <c r="S118" s="483">
        <f>3.65+1.7541</f>
        <v>5.4040999999999997</v>
      </c>
      <c r="T118" s="533" t="s">
        <v>1166</v>
      </c>
      <c r="U118" s="448"/>
      <c r="V118" s="448"/>
      <c r="W118" s="448"/>
      <c r="X118" s="445"/>
      <c r="Y118" s="448"/>
      <c r="Z118" s="448"/>
      <c r="AA118" s="448"/>
      <c r="AB118" s="483"/>
      <c r="AC118" s="483"/>
      <c r="AD118" s="448"/>
      <c r="AE118" s="483"/>
      <c r="AF118" s="483"/>
      <c r="AG118" s="448">
        <f>+AH118+AI118</f>
        <v>256.05</v>
      </c>
      <c r="AH118" s="483">
        <v>252.4</v>
      </c>
      <c r="AI118" s="483">
        <v>3.65</v>
      </c>
      <c r="AJ118" s="448"/>
      <c r="AK118" s="448"/>
      <c r="AL118" s="145"/>
      <c r="AM118" s="369"/>
      <c r="AN118" s="369"/>
      <c r="AO118" s="369"/>
    </row>
    <row r="119" spans="1:41" s="146" customFormat="1" ht="45" hidden="1">
      <c r="A119" s="141">
        <f t="shared" si="109"/>
        <v>14</v>
      </c>
      <c r="B119" s="325" t="s">
        <v>1145</v>
      </c>
      <c r="C119" s="141" t="s">
        <v>225</v>
      </c>
      <c r="D119" s="141"/>
      <c r="E119" s="141"/>
      <c r="F119" s="141" t="s">
        <v>55</v>
      </c>
      <c r="G119" s="447"/>
      <c r="H119" s="447"/>
      <c r="I119" s="447"/>
      <c r="J119" s="448"/>
      <c r="K119" s="483"/>
      <c r="L119" s="448"/>
      <c r="M119" s="448"/>
      <c r="N119" s="448">
        <f>+O119+P119</f>
        <v>187.65</v>
      </c>
      <c r="O119" s="483">
        <v>184.93</v>
      </c>
      <c r="P119" s="483">
        <v>2.72</v>
      </c>
      <c r="Q119" s="448">
        <f>+R119+S119</f>
        <v>187.65</v>
      </c>
      <c r="R119" s="483">
        <v>184.93</v>
      </c>
      <c r="S119" s="483">
        <v>2.72</v>
      </c>
      <c r="T119" s="533" t="s">
        <v>1166</v>
      </c>
      <c r="U119" s="448"/>
      <c r="V119" s="448"/>
      <c r="W119" s="448"/>
      <c r="X119" s="445"/>
      <c r="Y119" s="448"/>
      <c r="Z119" s="448"/>
      <c r="AA119" s="448"/>
      <c r="AB119" s="483"/>
      <c r="AC119" s="483"/>
      <c r="AD119" s="448"/>
      <c r="AE119" s="483"/>
      <c r="AF119" s="483"/>
      <c r="AG119" s="448">
        <f>+AH119+AI119</f>
        <v>187.65</v>
      </c>
      <c r="AH119" s="483">
        <v>184.93</v>
      </c>
      <c r="AI119" s="483">
        <v>2.72</v>
      </c>
      <c r="AJ119" s="448"/>
      <c r="AK119" s="448"/>
      <c r="AL119" s="145"/>
      <c r="AM119" s="369"/>
      <c r="AN119" s="369"/>
      <c r="AO119" s="369"/>
    </row>
    <row r="120" spans="1:41" s="156" customFormat="1" ht="23.25" customHeight="1">
      <c r="A120" s="419" t="s">
        <v>994</v>
      </c>
      <c r="B120" s="507" t="s">
        <v>246</v>
      </c>
      <c r="C120" s="420"/>
      <c r="D120" s="420"/>
      <c r="E120" s="421">
        <v>0</v>
      </c>
      <c r="F120" s="421"/>
      <c r="G120" s="452">
        <f>SUM(G121:G135)</f>
        <v>10104.369999999999</v>
      </c>
      <c r="H120" s="452">
        <f t="shared" ref="H120:T120" si="115">SUM(H121:H135)</f>
        <v>9623.2099999999991</v>
      </c>
      <c r="I120" s="452">
        <f t="shared" si="115"/>
        <v>481.15999999999997</v>
      </c>
      <c r="J120" s="452">
        <f t="shared" si="115"/>
        <v>0</v>
      </c>
      <c r="K120" s="452">
        <f t="shared" si="115"/>
        <v>995.16000000000008</v>
      </c>
      <c r="L120" s="452">
        <f t="shared" si="115"/>
        <v>949.46</v>
      </c>
      <c r="M120" s="452">
        <f t="shared" si="115"/>
        <v>45.7</v>
      </c>
      <c r="N120" s="452">
        <f t="shared" si="115"/>
        <v>995.15999999999985</v>
      </c>
      <c r="O120" s="452">
        <f t="shared" si="115"/>
        <v>949.45999999999992</v>
      </c>
      <c r="P120" s="452">
        <f t="shared" si="115"/>
        <v>45.699999999999996</v>
      </c>
      <c r="Q120" s="452">
        <f t="shared" si="115"/>
        <v>10104.369999999999</v>
      </c>
      <c r="R120" s="452">
        <f t="shared" si="115"/>
        <v>9623.2099999999991</v>
      </c>
      <c r="S120" s="452">
        <f t="shared" si="115"/>
        <v>481.15999999999997</v>
      </c>
      <c r="T120" s="452">
        <f t="shared" si="115"/>
        <v>0</v>
      </c>
      <c r="U120" s="452">
        <f t="shared" ref="U120:AF120" si="116">SUM(U121:U130)</f>
        <v>6749.45</v>
      </c>
      <c r="V120" s="452">
        <f t="shared" si="116"/>
        <v>6398.1</v>
      </c>
      <c r="W120" s="452">
        <f t="shared" si="116"/>
        <v>351.34999999999997</v>
      </c>
      <c r="X120" s="446">
        <f t="shared" si="116"/>
        <v>1822.1</v>
      </c>
      <c r="Y120" s="452">
        <f t="shared" si="116"/>
        <v>1732.1</v>
      </c>
      <c r="Z120" s="452">
        <f t="shared" si="116"/>
        <v>90</v>
      </c>
      <c r="AA120" s="446">
        <f t="shared" si="116"/>
        <v>2447.25</v>
      </c>
      <c r="AB120" s="452">
        <f t="shared" si="116"/>
        <v>2321.9</v>
      </c>
      <c r="AC120" s="452">
        <f t="shared" si="116"/>
        <v>125.35</v>
      </c>
      <c r="AD120" s="446">
        <f t="shared" si="116"/>
        <v>2480.1</v>
      </c>
      <c r="AE120" s="452">
        <f t="shared" si="116"/>
        <v>2344.1</v>
      </c>
      <c r="AF120" s="452">
        <f t="shared" si="116"/>
        <v>136</v>
      </c>
      <c r="AG120" s="452">
        <f>SUM(AG121:AG135)</f>
        <v>3354.92</v>
      </c>
      <c r="AH120" s="452">
        <f>SUM(AH121:AH135)</f>
        <v>3225.11</v>
      </c>
      <c r="AI120" s="452">
        <f>SUM(AI121:AI135)</f>
        <v>129.81</v>
      </c>
      <c r="AJ120" s="452"/>
      <c r="AK120" s="452">
        <f>SUM(AK121:AK130)</f>
        <v>0</v>
      </c>
      <c r="AL120" s="155"/>
      <c r="AM120" s="372">
        <f>+'NĂM 2022'!K50+'NĂM 2023'!N52+'NĂM 2024'!J51+'NĂM 2025'!J46</f>
        <v>10104.369999999999</v>
      </c>
      <c r="AN120" s="372">
        <f>+'NĂM 2022'!L50+'NĂM 2023'!O52+'NĂM 2024'!K51+'NĂM 2025'!K46</f>
        <v>9623.2099999999991</v>
      </c>
      <c r="AO120" s="372">
        <f>+'NĂM 2022'!M50+'NĂM 2023'!P52+'NĂM 2024'!L51+'NĂM 2025'!L46</f>
        <v>481.15999999999997</v>
      </c>
    </row>
    <row r="121" spans="1:41" s="161" customFormat="1" ht="36" hidden="1" customHeight="1">
      <c r="A121" s="135">
        <v>1</v>
      </c>
      <c r="B121" s="334" t="s">
        <v>813</v>
      </c>
      <c r="C121" s="160" t="s">
        <v>814</v>
      </c>
      <c r="D121" s="160" t="s">
        <v>815</v>
      </c>
      <c r="E121" s="160" t="s">
        <v>909</v>
      </c>
      <c r="F121" s="135" t="s">
        <v>52</v>
      </c>
      <c r="G121" s="449">
        <f>H121+I121</f>
        <v>766.5</v>
      </c>
      <c r="H121" s="449">
        <v>730</v>
      </c>
      <c r="I121" s="449">
        <v>36.5</v>
      </c>
      <c r="J121" s="449"/>
      <c r="K121" s="485">
        <f>+L121+M121</f>
        <v>67.899999999999977</v>
      </c>
      <c r="L121" s="449">
        <f>+H121-R121</f>
        <v>67.899999999999977</v>
      </c>
      <c r="M121" s="449">
        <f>+I121-S121</f>
        <v>0</v>
      </c>
      <c r="N121" s="485"/>
      <c r="O121" s="449"/>
      <c r="P121" s="449"/>
      <c r="Q121" s="449">
        <v>698.6</v>
      </c>
      <c r="R121" s="449">
        <v>662.1</v>
      </c>
      <c r="S121" s="449">
        <v>36.5</v>
      </c>
      <c r="T121" s="449"/>
      <c r="U121" s="449">
        <f>+V121+W121</f>
        <v>698.6</v>
      </c>
      <c r="V121" s="449">
        <f t="shared" ref="V121:W133" si="117">+Y121+AB121+AE121</f>
        <v>662.1</v>
      </c>
      <c r="W121" s="449">
        <f t="shared" si="117"/>
        <v>36.5</v>
      </c>
      <c r="X121" s="505">
        <f>Y121+Z121</f>
        <v>698.6</v>
      </c>
      <c r="Y121" s="449">
        <v>662.1</v>
      </c>
      <c r="Z121" s="449">
        <v>36.5</v>
      </c>
      <c r="AA121" s="449"/>
      <c r="AB121" s="485"/>
      <c r="AC121" s="485"/>
      <c r="AD121" s="449"/>
      <c r="AE121" s="485"/>
      <c r="AF121" s="485"/>
      <c r="AG121" s="449"/>
      <c r="AH121" s="485"/>
      <c r="AI121" s="485"/>
      <c r="AJ121" s="449"/>
      <c r="AK121" s="449"/>
      <c r="AL121" s="135"/>
      <c r="AM121" s="517">
        <f>+G120-U120</f>
        <v>3354.9199999999992</v>
      </c>
      <c r="AN121" s="517">
        <f>+H120-V120</f>
        <v>3225.1099999999988</v>
      </c>
      <c r="AO121" s="517">
        <f>+I120-W120</f>
        <v>129.81</v>
      </c>
    </row>
    <row r="122" spans="1:41" s="161" customFormat="1" ht="75.75" hidden="1" customHeight="1">
      <c r="A122" s="135">
        <f>+A121+1</f>
        <v>2</v>
      </c>
      <c r="B122" s="334" t="s">
        <v>910</v>
      </c>
      <c r="C122" s="160" t="s">
        <v>911</v>
      </c>
      <c r="D122" s="160" t="s">
        <v>816</v>
      </c>
      <c r="E122" s="160" t="s">
        <v>341</v>
      </c>
      <c r="F122" s="135" t="s">
        <v>52</v>
      </c>
      <c r="G122" s="449">
        <f t="shared" ref="G122:G123" si="118">H122+I122</f>
        <v>1123.5</v>
      </c>
      <c r="H122" s="449">
        <v>1070</v>
      </c>
      <c r="I122" s="449">
        <v>53.5</v>
      </c>
      <c r="J122" s="449"/>
      <c r="K122" s="485">
        <f t="shared" ref="K122:K133" si="119">+G122-Q122</f>
        <v>0</v>
      </c>
      <c r="L122" s="449"/>
      <c r="M122" s="449"/>
      <c r="N122" s="485"/>
      <c r="O122" s="449"/>
      <c r="P122" s="449"/>
      <c r="Q122" s="449">
        <v>1123.5</v>
      </c>
      <c r="R122" s="449">
        <v>1070</v>
      </c>
      <c r="S122" s="449">
        <v>53.5</v>
      </c>
      <c r="T122" s="449"/>
      <c r="U122" s="449">
        <f>+V122+W122</f>
        <v>1123.5</v>
      </c>
      <c r="V122" s="449">
        <f t="shared" si="117"/>
        <v>1070</v>
      </c>
      <c r="W122" s="449">
        <f t="shared" si="117"/>
        <v>53.5</v>
      </c>
      <c r="X122" s="505">
        <f>Y122+Z122</f>
        <v>1123.5</v>
      </c>
      <c r="Y122" s="449">
        <v>1070</v>
      </c>
      <c r="Z122" s="449">
        <v>53.5</v>
      </c>
      <c r="AA122" s="449"/>
      <c r="AB122" s="485"/>
      <c r="AC122" s="485"/>
      <c r="AD122" s="449"/>
      <c r="AE122" s="485"/>
      <c r="AF122" s="485"/>
      <c r="AG122" s="449"/>
      <c r="AH122" s="485"/>
      <c r="AI122" s="485"/>
      <c r="AJ122" s="449"/>
      <c r="AK122" s="449"/>
      <c r="AL122" s="135"/>
      <c r="AM122" s="516">
        <f>+AM121-AG120</f>
        <v>0</v>
      </c>
      <c r="AN122" s="516">
        <f t="shared" ref="AN122:AO122" si="120">+AN121-AH120</f>
        <v>0</v>
      </c>
      <c r="AO122" s="516">
        <f t="shared" si="120"/>
        <v>0</v>
      </c>
    </row>
    <row r="123" spans="1:41" s="146" customFormat="1" ht="75" hidden="1">
      <c r="A123" s="135">
        <f t="shared" ref="A123:A135" si="121">+A122+1</f>
        <v>3</v>
      </c>
      <c r="B123" s="325" t="s">
        <v>247</v>
      </c>
      <c r="C123" s="141" t="s">
        <v>248</v>
      </c>
      <c r="D123" s="141"/>
      <c r="E123" s="141" t="s">
        <v>208</v>
      </c>
      <c r="F123" s="141">
        <v>2023</v>
      </c>
      <c r="G123" s="447">
        <f t="shared" si="118"/>
        <v>315</v>
      </c>
      <c r="H123" s="447">
        <v>300</v>
      </c>
      <c r="I123" s="447">
        <v>15</v>
      </c>
      <c r="J123" s="448"/>
      <c r="K123" s="485">
        <f t="shared" si="119"/>
        <v>0</v>
      </c>
      <c r="L123" s="448"/>
      <c r="M123" s="448"/>
      <c r="N123" s="483"/>
      <c r="O123" s="448"/>
      <c r="P123" s="448"/>
      <c r="Q123" s="466">
        <v>315</v>
      </c>
      <c r="R123" s="448">
        <v>300</v>
      </c>
      <c r="S123" s="448">
        <v>15</v>
      </c>
      <c r="T123" s="448"/>
      <c r="U123" s="505">
        <f>+V123+W123</f>
        <v>315</v>
      </c>
      <c r="V123" s="505">
        <f t="shared" si="117"/>
        <v>300</v>
      </c>
      <c r="W123" s="505">
        <f t="shared" si="117"/>
        <v>15</v>
      </c>
      <c r="X123" s="445">
        <f t="shared" ref="X123" si="122">Y123+Z123</f>
        <v>0</v>
      </c>
      <c r="Y123" s="448"/>
      <c r="Z123" s="448"/>
      <c r="AA123" s="448">
        <f>+AB123+AC123</f>
        <v>315</v>
      </c>
      <c r="AB123" s="483">
        <v>300</v>
      </c>
      <c r="AC123" s="483">
        <v>15</v>
      </c>
      <c r="AD123" s="448"/>
      <c r="AE123" s="483"/>
      <c r="AF123" s="483"/>
      <c r="AG123" s="448"/>
      <c r="AH123" s="483"/>
      <c r="AI123" s="483"/>
      <c r="AJ123" s="448"/>
      <c r="AK123" s="448"/>
      <c r="AL123" s="141"/>
      <c r="AM123" s="369"/>
      <c r="AN123" s="369"/>
      <c r="AO123" s="369"/>
    </row>
    <row r="124" spans="1:41" s="146" customFormat="1" ht="75" hidden="1">
      <c r="A124" s="135">
        <f t="shared" si="121"/>
        <v>4</v>
      </c>
      <c r="B124" s="325" t="s">
        <v>249</v>
      </c>
      <c r="C124" s="141" t="s">
        <v>250</v>
      </c>
      <c r="D124" s="141"/>
      <c r="E124" s="141" t="s">
        <v>251</v>
      </c>
      <c r="F124" s="141" t="s">
        <v>53</v>
      </c>
      <c r="G124" s="447">
        <f t="shared" si="86"/>
        <v>945</v>
      </c>
      <c r="H124" s="447">
        <v>900</v>
      </c>
      <c r="I124" s="447">
        <v>45</v>
      </c>
      <c r="J124" s="448"/>
      <c r="K124" s="485">
        <f t="shared" si="119"/>
        <v>0</v>
      </c>
      <c r="L124" s="448"/>
      <c r="M124" s="448"/>
      <c r="N124" s="483"/>
      <c r="O124" s="448"/>
      <c r="P124" s="448"/>
      <c r="Q124" s="466">
        <v>945</v>
      </c>
      <c r="R124" s="448">
        <v>900</v>
      </c>
      <c r="S124" s="448">
        <v>45</v>
      </c>
      <c r="T124" s="448"/>
      <c r="U124" s="505">
        <f t="shared" ref="U124:U133" si="123">+V124+W124</f>
        <v>945</v>
      </c>
      <c r="V124" s="505">
        <f t="shared" si="117"/>
        <v>900</v>
      </c>
      <c r="W124" s="505">
        <f t="shared" si="117"/>
        <v>45</v>
      </c>
      <c r="X124" s="445">
        <f t="shared" si="89"/>
        <v>0</v>
      </c>
      <c r="Y124" s="448"/>
      <c r="Z124" s="448"/>
      <c r="AA124" s="448">
        <f t="shared" ref="AA124:AA126" si="124">+AB124+AC124</f>
        <v>945</v>
      </c>
      <c r="AB124" s="483">
        <v>900</v>
      </c>
      <c r="AC124" s="483">
        <v>45</v>
      </c>
      <c r="AD124" s="448"/>
      <c r="AE124" s="483"/>
      <c r="AF124" s="483"/>
      <c r="AG124" s="448"/>
      <c r="AH124" s="483"/>
      <c r="AI124" s="483"/>
      <c r="AJ124" s="448"/>
      <c r="AK124" s="448"/>
      <c r="AL124" s="141"/>
      <c r="AM124" s="369"/>
      <c r="AN124" s="369"/>
      <c r="AO124" s="369"/>
    </row>
    <row r="125" spans="1:41" s="146" customFormat="1" ht="75" hidden="1">
      <c r="A125" s="135">
        <f t="shared" si="121"/>
        <v>5</v>
      </c>
      <c r="B125" s="325" t="s">
        <v>252</v>
      </c>
      <c r="C125" s="141" t="s">
        <v>253</v>
      </c>
      <c r="D125" s="141"/>
      <c r="E125" s="141" t="s">
        <v>159</v>
      </c>
      <c r="F125" s="141" t="s">
        <v>53</v>
      </c>
      <c r="G125" s="447">
        <f t="shared" si="86"/>
        <v>420</v>
      </c>
      <c r="H125" s="447">
        <v>400</v>
      </c>
      <c r="I125" s="447">
        <v>20</v>
      </c>
      <c r="J125" s="448"/>
      <c r="K125" s="485"/>
      <c r="L125" s="448"/>
      <c r="M125" s="448"/>
      <c r="N125" s="483">
        <f>+O125+P125</f>
        <v>363</v>
      </c>
      <c r="O125" s="448">
        <f>+R125-H125</f>
        <v>336.9</v>
      </c>
      <c r="P125" s="448">
        <f>+S125-I125</f>
        <v>26.1</v>
      </c>
      <c r="Q125" s="466">
        <v>783</v>
      </c>
      <c r="R125" s="448">
        <v>736.9</v>
      </c>
      <c r="S125" s="448">
        <v>46.1</v>
      </c>
      <c r="T125" s="448"/>
      <c r="U125" s="505">
        <f t="shared" si="123"/>
        <v>783</v>
      </c>
      <c r="V125" s="505">
        <f t="shared" si="117"/>
        <v>736.9</v>
      </c>
      <c r="W125" s="505">
        <f t="shared" si="117"/>
        <v>46.1</v>
      </c>
      <c r="X125" s="445">
        <f t="shared" si="89"/>
        <v>0</v>
      </c>
      <c r="Y125" s="448"/>
      <c r="Z125" s="448"/>
      <c r="AA125" s="448">
        <f t="shared" si="124"/>
        <v>783</v>
      </c>
      <c r="AB125" s="483">
        <v>736.9</v>
      </c>
      <c r="AC125" s="483">
        <v>46.1</v>
      </c>
      <c r="AD125" s="448"/>
      <c r="AE125" s="483"/>
      <c r="AF125" s="483"/>
      <c r="AG125" s="448"/>
      <c r="AH125" s="483"/>
      <c r="AI125" s="483"/>
      <c r="AJ125" s="448"/>
      <c r="AK125" s="448"/>
      <c r="AL125" s="141"/>
      <c r="AM125" s="369"/>
      <c r="AN125" s="369"/>
      <c r="AO125" s="369"/>
    </row>
    <row r="126" spans="1:41" s="146" customFormat="1" ht="75" hidden="1">
      <c r="A126" s="135">
        <f t="shared" si="121"/>
        <v>6</v>
      </c>
      <c r="B126" s="325" t="s">
        <v>254</v>
      </c>
      <c r="C126" s="141" t="s">
        <v>255</v>
      </c>
      <c r="D126" s="141"/>
      <c r="E126" s="141" t="s">
        <v>256</v>
      </c>
      <c r="F126" s="141" t="s">
        <v>53</v>
      </c>
      <c r="G126" s="447">
        <f t="shared" si="86"/>
        <v>404.25</v>
      </c>
      <c r="H126" s="447">
        <v>385</v>
      </c>
      <c r="I126" s="447">
        <v>19.25</v>
      </c>
      <c r="J126" s="448"/>
      <c r="K126" s="485">
        <f t="shared" si="119"/>
        <v>0</v>
      </c>
      <c r="L126" s="448"/>
      <c r="M126" s="448"/>
      <c r="N126" s="483"/>
      <c r="O126" s="448"/>
      <c r="P126" s="448"/>
      <c r="Q126" s="466">
        <v>404.25</v>
      </c>
      <c r="R126" s="448">
        <v>385</v>
      </c>
      <c r="S126" s="448">
        <v>19.25</v>
      </c>
      <c r="T126" s="448"/>
      <c r="U126" s="505">
        <f t="shared" si="123"/>
        <v>404.25</v>
      </c>
      <c r="V126" s="505">
        <f t="shared" si="117"/>
        <v>385</v>
      </c>
      <c r="W126" s="505">
        <f t="shared" si="117"/>
        <v>19.25</v>
      </c>
      <c r="X126" s="445">
        <f t="shared" si="89"/>
        <v>0</v>
      </c>
      <c r="Y126" s="448"/>
      <c r="Z126" s="448"/>
      <c r="AA126" s="448">
        <f t="shared" si="124"/>
        <v>404.25</v>
      </c>
      <c r="AB126" s="483">
        <v>385</v>
      </c>
      <c r="AC126" s="483">
        <v>19.25</v>
      </c>
      <c r="AD126" s="448"/>
      <c r="AE126" s="483"/>
      <c r="AF126" s="483"/>
      <c r="AG126" s="448"/>
      <c r="AH126" s="483"/>
      <c r="AI126" s="483"/>
      <c r="AJ126" s="448"/>
      <c r="AK126" s="448"/>
      <c r="AL126" s="141"/>
      <c r="AM126" s="369"/>
      <c r="AN126" s="369"/>
      <c r="AO126" s="369"/>
    </row>
    <row r="127" spans="1:41" s="146" customFormat="1" ht="30" hidden="1">
      <c r="A127" s="135">
        <f t="shared" si="121"/>
        <v>7</v>
      </c>
      <c r="B127" s="325" t="s">
        <v>264</v>
      </c>
      <c r="C127" s="141" t="s">
        <v>248</v>
      </c>
      <c r="D127" s="141"/>
      <c r="E127" s="141" t="s">
        <v>265</v>
      </c>
      <c r="F127" s="141" t="s">
        <v>54</v>
      </c>
      <c r="G127" s="447">
        <f t="shared" si="86"/>
        <v>945</v>
      </c>
      <c r="H127" s="447">
        <v>900</v>
      </c>
      <c r="I127" s="447">
        <v>45</v>
      </c>
      <c r="J127" s="448"/>
      <c r="K127" s="485">
        <f>+L127+M127</f>
        <v>100</v>
      </c>
      <c r="L127" s="449">
        <f>+H127-R127</f>
        <v>100</v>
      </c>
      <c r="M127" s="449"/>
      <c r="N127" s="483">
        <f>+O127+P127</f>
        <v>1.3999999999999986</v>
      </c>
      <c r="O127" s="448"/>
      <c r="P127" s="448">
        <f>+S127-I127</f>
        <v>1.3999999999999986</v>
      </c>
      <c r="Q127" s="466">
        <v>846.4</v>
      </c>
      <c r="R127" s="448">
        <v>800</v>
      </c>
      <c r="S127" s="448">
        <v>46.4</v>
      </c>
      <c r="T127" s="448"/>
      <c r="U127" s="505">
        <f t="shared" si="123"/>
        <v>846.4</v>
      </c>
      <c r="V127" s="505">
        <f t="shared" si="117"/>
        <v>800</v>
      </c>
      <c r="W127" s="505">
        <f t="shared" si="117"/>
        <v>46.4</v>
      </c>
      <c r="X127" s="445">
        <f t="shared" si="89"/>
        <v>0</v>
      </c>
      <c r="Y127" s="448"/>
      <c r="Z127" s="448"/>
      <c r="AA127" s="448"/>
      <c r="AB127" s="483"/>
      <c r="AC127" s="483"/>
      <c r="AD127" s="448">
        <f>+AE127+AF127</f>
        <v>846.4</v>
      </c>
      <c r="AE127" s="483">
        <v>800</v>
      </c>
      <c r="AF127" s="483">
        <v>46.4</v>
      </c>
      <c r="AG127" s="448"/>
      <c r="AH127" s="483"/>
      <c r="AI127" s="483"/>
      <c r="AJ127" s="448"/>
      <c r="AK127" s="448"/>
      <c r="AL127" s="145"/>
      <c r="AM127" s="369"/>
      <c r="AN127" s="369"/>
      <c r="AO127" s="369"/>
    </row>
    <row r="128" spans="1:41" s="146" customFormat="1" ht="30" hidden="1">
      <c r="A128" s="135">
        <f t="shared" si="121"/>
        <v>8</v>
      </c>
      <c r="B128" s="325" t="s">
        <v>267</v>
      </c>
      <c r="C128" s="141" t="s">
        <v>268</v>
      </c>
      <c r="D128" s="141"/>
      <c r="E128" s="141" t="s">
        <v>269</v>
      </c>
      <c r="F128" s="141" t="s">
        <v>54</v>
      </c>
      <c r="G128" s="447">
        <f t="shared" si="86"/>
        <v>577.5</v>
      </c>
      <c r="H128" s="447">
        <v>550</v>
      </c>
      <c r="I128" s="447">
        <v>27.5</v>
      </c>
      <c r="J128" s="448"/>
      <c r="K128" s="485">
        <f>+L128+M128</f>
        <v>96.1</v>
      </c>
      <c r="L128" s="449">
        <f>+H128-R128</f>
        <v>95</v>
      </c>
      <c r="M128" s="449">
        <f>+I128-S128</f>
        <v>1.1000000000000014</v>
      </c>
      <c r="N128" s="483"/>
      <c r="O128" s="448"/>
      <c r="P128" s="448"/>
      <c r="Q128" s="466">
        <v>481.4</v>
      </c>
      <c r="R128" s="448">
        <v>455</v>
      </c>
      <c r="S128" s="448">
        <v>26.4</v>
      </c>
      <c r="T128" s="448"/>
      <c r="U128" s="505">
        <f t="shared" si="123"/>
        <v>481.4</v>
      </c>
      <c r="V128" s="505">
        <f t="shared" si="117"/>
        <v>455</v>
      </c>
      <c r="W128" s="505">
        <f t="shared" si="117"/>
        <v>26.4</v>
      </c>
      <c r="X128" s="445">
        <f t="shared" si="89"/>
        <v>0</v>
      </c>
      <c r="Y128" s="448"/>
      <c r="Z128" s="448"/>
      <c r="AA128" s="448"/>
      <c r="AB128" s="483"/>
      <c r="AC128" s="483"/>
      <c r="AD128" s="448">
        <f>+AE128+AF128</f>
        <v>481.4</v>
      </c>
      <c r="AE128" s="483">
        <v>455</v>
      </c>
      <c r="AF128" s="483">
        <v>26.4</v>
      </c>
      <c r="AG128" s="448"/>
      <c r="AH128" s="483"/>
      <c r="AI128" s="483"/>
      <c r="AJ128" s="448"/>
      <c r="AK128" s="448"/>
      <c r="AL128" s="145"/>
      <c r="AM128" s="369"/>
      <c r="AN128" s="369"/>
      <c r="AO128" s="369"/>
    </row>
    <row r="129" spans="1:41" s="146" customFormat="1" ht="75" hidden="1">
      <c r="A129" s="135">
        <f t="shared" si="121"/>
        <v>9</v>
      </c>
      <c r="B129" s="325" t="s">
        <v>270</v>
      </c>
      <c r="C129" s="141" t="s">
        <v>271</v>
      </c>
      <c r="D129" s="141"/>
      <c r="E129" s="141" t="s">
        <v>110</v>
      </c>
      <c r="F129" s="141" t="s">
        <v>54</v>
      </c>
      <c r="G129" s="447">
        <f t="shared" si="86"/>
        <v>735</v>
      </c>
      <c r="H129" s="447">
        <v>700</v>
      </c>
      <c r="I129" s="447">
        <v>35</v>
      </c>
      <c r="J129" s="448"/>
      <c r="K129" s="485">
        <f>+L129+M129</f>
        <v>40</v>
      </c>
      <c r="L129" s="449">
        <f>+H129-R129</f>
        <v>40</v>
      </c>
      <c r="M129" s="449"/>
      <c r="N129" s="483">
        <f>+O129+P129</f>
        <v>3.2999999999999972</v>
      </c>
      <c r="O129" s="448"/>
      <c r="P129" s="448">
        <f>+S129-I129</f>
        <v>3.2999999999999972</v>
      </c>
      <c r="Q129" s="466">
        <v>698.3</v>
      </c>
      <c r="R129" s="448">
        <v>660</v>
      </c>
      <c r="S129" s="448">
        <v>38.299999999999997</v>
      </c>
      <c r="T129" s="448"/>
      <c r="U129" s="505">
        <f t="shared" si="123"/>
        <v>698.3</v>
      </c>
      <c r="V129" s="505">
        <f t="shared" si="117"/>
        <v>660</v>
      </c>
      <c r="W129" s="505">
        <f t="shared" si="117"/>
        <v>38.299999999999997</v>
      </c>
      <c r="X129" s="445">
        <f t="shared" si="89"/>
        <v>0</v>
      </c>
      <c r="Y129" s="448"/>
      <c r="Z129" s="448"/>
      <c r="AA129" s="448"/>
      <c r="AB129" s="483"/>
      <c r="AC129" s="483"/>
      <c r="AD129" s="448">
        <f t="shared" ref="AD129:AD130" si="125">+AE129+AF129</f>
        <v>698.3</v>
      </c>
      <c r="AE129" s="483">
        <v>660</v>
      </c>
      <c r="AF129" s="483">
        <v>38.299999999999997</v>
      </c>
      <c r="AG129" s="448"/>
      <c r="AH129" s="483"/>
      <c r="AI129" s="483"/>
      <c r="AJ129" s="448"/>
      <c r="AK129" s="448"/>
      <c r="AL129" s="141"/>
      <c r="AM129" s="369"/>
      <c r="AN129" s="369"/>
      <c r="AO129" s="369"/>
    </row>
    <row r="130" spans="1:41" s="146" customFormat="1" ht="75" hidden="1">
      <c r="A130" s="135">
        <f t="shared" si="121"/>
        <v>10</v>
      </c>
      <c r="B130" s="325" t="s">
        <v>272</v>
      </c>
      <c r="C130" s="141" t="s">
        <v>273</v>
      </c>
      <c r="D130" s="141"/>
      <c r="E130" s="141" t="s">
        <v>128</v>
      </c>
      <c r="F130" s="141" t="s">
        <v>54</v>
      </c>
      <c r="G130" s="447">
        <f t="shared" si="86"/>
        <v>932.62</v>
      </c>
      <c r="H130" s="447">
        <v>888.21</v>
      </c>
      <c r="I130" s="447">
        <v>44.41</v>
      </c>
      <c r="J130" s="448"/>
      <c r="K130" s="485">
        <f>+L130+M130</f>
        <v>478.62</v>
      </c>
      <c r="L130" s="449">
        <f>+H130-R130</f>
        <v>459.11</v>
      </c>
      <c r="M130" s="449">
        <f>+I130-S130</f>
        <v>19.509999999999998</v>
      </c>
      <c r="N130" s="483"/>
      <c r="O130" s="448"/>
      <c r="P130" s="448"/>
      <c r="Q130" s="466">
        <v>454</v>
      </c>
      <c r="R130" s="448">
        <v>429.1</v>
      </c>
      <c r="S130" s="448">
        <v>24.9</v>
      </c>
      <c r="T130" s="448"/>
      <c r="U130" s="505">
        <f t="shared" si="123"/>
        <v>454</v>
      </c>
      <c r="V130" s="505">
        <f t="shared" si="117"/>
        <v>429.1</v>
      </c>
      <c r="W130" s="505">
        <f t="shared" si="117"/>
        <v>24.9</v>
      </c>
      <c r="X130" s="445">
        <f t="shared" si="89"/>
        <v>0</v>
      </c>
      <c r="Y130" s="448"/>
      <c r="Z130" s="448"/>
      <c r="AA130" s="448"/>
      <c r="AB130" s="483"/>
      <c r="AC130" s="483"/>
      <c r="AD130" s="448">
        <f t="shared" si="125"/>
        <v>454</v>
      </c>
      <c r="AE130" s="483">
        <v>429.1</v>
      </c>
      <c r="AF130" s="483">
        <v>24.9</v>
      </c>
      <c r="AG130" s="448"/>
      <c r="AH130" s="483"/>
      <c r="AI130" s="483"/>
      <c r="AJ130" s="448"/>
      <c r="AK130" s="448"/>
      <c r="AL130" s="141"/>
      <c r="AM130" s="369"/>
      <c r="AN130" s="369"/>
      <c r="AO130" s="369"/>
    </row>
    <row r="131" spans="1:41" s="146" customFormat="1" ht="60" hidden="1">
      <c r="A131" s="135">
        <f t="shared" si="121"/>
        <v>11</v>
      </c>
      <c r="B131" s="325" t="s">
        <v>260</v>
      </c>
      <c r="C131" s="141" t="s">
        <v>255</v>
      </c>
      <c r="D131" s="141"/>
      <c r="E131" s="150" t="s">
        <v>261</v>
      </c>
      <c r="F131" s="141" t="s">
        <v>55</v>
      </c>
      <c r="G131" s="447">
        <f t="shared" si="86"/>
        <v>525</v>
      </c>
      <c r="H131" s="447">
        <v>500</v>
      </c>
      <c r="I131" s="447">
        <v>25</v>
      </c>
      <c r="J131" s="448"/>
      <c r="K131" s="485">
        <f t="shared" si="119"/>
        <v>0</v>
      </c>
      <c r="L131" s="448"/>
      <c r="M131" s="448"/>
      <c r="N131" s="483"/>
      <c r="O131" s="448"/>
      <c r="P131" s="448"/>
      <c r="Q131" s="447">
        <f t="shared" ref="Q131:Q133" si="126">R131+S131</f>
        <v>525</v>
      </c>
      <c r="R131" s="447">
        <v>500</v>
      </c>
      <c r="S131" s="447">
        <v>25</v>
      </c>
      <c r="T131" s="448"/>
      <c r="U131" s="505">
        <f t="shared" si="123"/>
        <v>0</v>
      </c>
      <c r="V131" s="505">
        <f t="shared" si="117"/>
        <v>0</v>
      </c>
      <c r="W131" s="505">
        <f t="shared" si="117"/>
        <v>0</v>
      </c>
      <c r="X131" s="445">
        <f t="shared" si="89"/>
        <v>0</v>
      </c>
      <c r="Y131" s="448"/>
      <c r="Z131" s="448"/>
      <c r="AA131" s="448"/>
      <c r="AB131" s="483"/>
      <c r="AC131" s="483"/>
      <c r="AD131" s="448"/>
      <c r="AE131" s="483"/>
      <c r="AF131" s="483"/>
      <c r="AG131" s="447">
        <f t="shared" ref="AG131:AG133" si="127">AH131+AI131</f>
        <v>525</v>
      </c>
      <c r="AH131" s="447">
        <v>500</v>
      </c>
      <c r="AI131" s="447">
        <v>25</v>
      </c>
      <c r="AJ131" s="448"/>
      <c r="AK131" s="448"/>
      <c r="AL131" s="141"/>
      <c r="AM131" s="369"/>
      <c r="AN131" s="369"/>
      <c r="AO131" s="369"/>
    </row>
    <row r="132" spans="1:41" s="146" customFormat="1" ht="60" hidden="1">
      <c r="A132" s="135">
        <f t="shared" si="121"/>
        <v>12</v>
      </c>
      <c r="B132" s="325" t="s">
        <v>262</v>
      </c>
      <c r="C132" s="141" t="s">
        <v>255</v>
      </c>
      <c r="D132" s="141"/>
      <c r="E132" s="150" t="s">
        <v>263</v>
      </c>
      <c r="F132" s="141" t="s">
        <v>55</v>
      </c>
      <c r="G132" s="447">
        <f t="shared" si="86"/>
        <v>630</v>
      </c>
      <c r="H132" s="447">
        <v>600</v>
      </c>
      <c r="I132" s="447">
        <v>30</v>
      </c>
      <c r="J132" s="448"/>
      <c r="K132" s="485">
        <f t="shared" si="119"/>
        <v>0</v>
      </c>
      <c r="L132" s="448"/>
      <c r="M132" s="448"/>
      <c r="N132" s="483"/>
      <c r="O132" s="448"/>
      <c r="P132" s="448"/>
      <c r="Q132" s="447">
        <f t="shared" si="126"/>
        <v>630</v>
      </c>
      <c r="R132" s="447">
        <v>600</v>
      </c>
      <c r="S132" s="447">
        <v>30</v>
      </c>
      <c r="T132" s="448"/>
      <c r="U132" s="505">
        <f t="shared" si="123"/>
        <v>0</v>
      </c>
      <c r="V132" s="505">
        <f t="shared" si="117"/>
        <v>0</v>
      </c>
      <c r="W132" s="505">
        <f t="shared" si="117"/>
        <v>0</v>
      </c>
      <c r="X132" s="445">
        <f t="shared" si="89"/>
        <v>0</v>
      </c>
      <c r="Y132" s="448"/>
      <c r="Z132" s="448"/>
      <c r="AA132" s="448"/>
      <c r="AB132" s="483"/>
      <c r="AC132" s="483"/>
      <c r="AD132" s="448"/>
      <c r="AE132" s="483"/>
      <c r="AF132" s="483"/>
      <c r="AG132" s="447">
        <f t="shared" si="127"/>
        <v>630</v>
      </c>
      <c r="AH132" s="447">
        <v>600</v>
      </c>
      <c r="AI132" s="447">
        <v>30</v>
      </c>
      <c r="AJ132" s="448"/>
      <c r="AK132" s="448"/>
      <c r="AL132" s="141"/>
      <c r="AM132" s="369"/>
      <c r="AN132" s="369"/>
      <c r="AO132" s="369"/>
    </row>
    <row r="133" spans="1:41" s="146" customFormat="1" ht="60" hidden="1">
      <c r="A133" s="135">
        <f t="shared" si="121"/>
        <v>13</v>
      </c>
      <c r="B133" s="325" t="s">
        <v>912</v>
      </c>
      <c r="C133" s="141" t="s">
        <v>258</v>
      </c>
      <c r="D133" s="141"/>
      <c r="E133" s="150" t="s">
        <v>266</v>
      </c>
      <c r="F133" s="141" t="s">
        <v>55</v>
      </c>
      <c r="G133" s="447">
        <f t="shared" si="86"/>
        <v>945</v>
      </c>
      <c r="H133" s="447">
        <v>900</v>
      </c>
      <c r="I133" s="447">
        <v>45</v>
      </c>
      <c r="J133" s="448"/>
      <c r="K133" s="485">
        <f t="shared" si="119"/>
        <v>0</v>
      </c>
      <c r="L133" s="448"/>
      <c r="M133" s="448"/>
      <c r="N133" s="483"/>
      <c r="O133" s="448"/>
      <c r="P133" s="448"/>
      <c r="Q133" s="447">
        <f t="shared" si="126"/>
        <v>945</v>
      </c>
      <c r="R133" s="447">
        <v>900</v>
      </c>
      <c r="S133" s="447">
        <v>45</v>
      </c>
      <c r="T133" s="448"/>
      <c r="U133" s="505">
        <f t="shared" si="123"/>
        <v>0</v>
      </c>
      <c r="V133" s="505">
        <f t="shared" si="117"/>
        <v>0</v>
      </c>
      <c r="W133" s="505">
        <f t="shared" si="117"/>
        <v>0</v>
      </c>
      <c r="X133" s="445">
        <f t="shared" si="89"/>
        <v>0</v>
      </c>
      <c r="Y133" s="448"/>
      <c r="Z133" s="448"/>
      <c r="AA133" s="448"/>
      <c r="AB133" s="483"/>
      <c r="AC133" s="483"/>
      <c r="AD133" s="448"/>
      <c r="AE133" s="483"/>
      <c r="AF133" s="483"/>
      <c r="AG133" s="447">
        <f t="shared" si="127"/>
        <v>945</v>
      </c>
      <c r="AH133" s="447">
        <v>900</v>
      </c>
      <c r="AI133" s="447">
        <v>45</v>
      </c>
      <c r="AJ133" s="448"/>
      <c r="AK133" s="448"/>
      <c r="AL133" s="141"/>
      <c r="AM133" s="369"/>
      <c r="AN133" s="369"/>
      <c r="AO133" s="369"/>
    </row>
    <row r="134" spans="1:41" s="146" customFormat="1" ht="30" hidden="1">
      <c r="A134" s="135">
        <f t="shared" si="121"/>
        <v>14</v>
      </c>
      <c r="B134" s="325" t="s">
        <v>1146</v>
      </c>
      <c r="C134" s="141" t="s">
        <v>253</v>
      </c>
      <c r="D134" s="141" t="s">
        <v>55</v>
      </c>
      <c r="E134" s="141"/>
      <c r="F134" s="141" t="s">
        <v>55</v>
      </c>
      <c r="G134" s="447">
        <f t="shared" si="86"/>
        <v>840</v>
      </c>
      <c r="H134" s="447">
        <v>800</v>
      </c>
      <c r="I134" s="447">
        <v>40</v>
      </c>
      <c r="J134" s="448"/>
      <c r="K134" s="485">
        <f>+L134+M134</f>
        <v>212.54000000000005</v>
      </c>
      <c r="L134" s="449">
        <f>+H134-R134</f>
        <v>187.45000000000005</v>
      </c>
      <c r="M134" s="449">
        <f>+I134-S134</f>
        <v>25.09</v>
      </c>
      <c r="N134" s="483"/>
      <c r="O134" s="448"/>
      <c r="P134" s="448"/>
      <c r="Q134" s="448">
        <f t="shared" ref="Q134:Q135" si="128">+R134+S134</f>
        <v>627.45999999999992</v>
      </c>
      <c r="R134" s="483">
        <v>612.54999999999995</v>
      </c>
      <c r="S134" s="483">
        <f>31.3-16.39</f>
        <v>14.91</v>
      </c>
      <c r="T134" s="448"/>
      <c r="U134" s="505"/>
      <c r="V134" s="505"/>
      <c r="W134" s="505"/>
      <c r="X134" s="445"/>
      <c r="Y134" s="448"/>
      <c r="Z134" s="448"/>
      <c r="AA134" s="448"/>
      <c r="AB134" s="483"/>
      <c r="AC134" s="483"/>
      <c r="AD134" s="448"/>
      <c r="AE134" s="483"/>
      <c r="AF134" s="483"/>
      <c r="AG134" s="448">
        <f t="shared" ref="AG134:AG135" si="129">+AH134+AI134</f>
        <v>627.45999999999992</v>
      </c>
      <c r="AH134" s="483">
        <v>612.54999999999995</v>
      </c>
      <c r="AI134" s="483">
        <f>31.3-16.39</f>
        <v>14.91</v>
      </c>
      <c r="AJ134" s="448"/>
      <c r="AK134" s="448"/>
      <c r="AL134" s="141"/>
      <c r="AM134" s="369"/>
      <c r="AN134" s="369"/>
      <c r="AO134" s="369"/>
    </row>
    <row r="135" spans="1:41" s="146" customFormat="1" ht="30" hidden="1">
      <c r="A135" s="135">
        <f t="shared" si="121"/>
        <v>15</v>
      </c>
      <c r="B135" s="325" t="s">
        <v>1147</v>
      </c>
      <c r="C135" s="141" t="s">
        <v>273</v>
      </c>
      <c r="D135" s="141" t="s">
        <v>55</v>
      </c>
      <c r="E135" s="141"/>
      <c r="F135" s="141" t="s">
        <v>55</v>
      </c>
      <c r="G135" s="447"/>
      <c r="H135" s="447"/>
      <c r="I135" s="447"/>
      <c r="J135" s="448"/>
      <c r="K135" s="485"/>
      <c r="L135" s="448"/>
      <c r="M135" s="448"/>
      <c r="N135" s="448">
        <f t="shared" ref="N135" si="130">+O135+P135</f>
        <v>627.45999999999992</v>
      </c>
      <c r="O135" s="483">
        <v>612.55999999999995</v>
      </c>
      <c r="P135" s="483">
        <v>14.9</v>
      </c>
      <c r="Q135" s="448">
        <f t="shared" si="128"/>
        <v>627.45999999999992</v>
      </c>
      <c r="R135" s="483">
        <v>612.55999999999995</v>
      </c>
      <c r="S135" s="483">
        <v>14.9</v>
      </c>
      <c r="T135" s="448"/>
      <c r="U135" s="505"/>
      <c r="V135" s="505"/>
      <c r="W135" s="505"/>
      <c r="X135" s="445"/>
      <c r="Y135" s="448"/>
      <c r="Z135" s="448"/>
      <c r="AA135" s="448"/>
      <c r="AB135" s="483"/>
      <c r="AC135" s="483"/>
      <c r="AD135" s="448"/>
      <c r="AE135" s="483"/>
      <c r="AF135" s="483"/>
      <c r="AG135" s="448">
        <f t="shared" si="129"/>
        <v>627.45999999999992</v>
      </c>
      <c r="AH135" s="483">
        <v>612.55999999999995</v>
      </c>
      <c r="AI135" s="483">
        <v>14.9</v>
      </c>
      <c r="AJ135" s="448"/>
      <c r="AK135" s="448"/>
      <c r="AL135" s="141"/>
      <c r="AM135" s="369"/>
      <c r="AN135" s="369"/>
      <c r="AO135" s="369"/>
    </row>
    <row r="136" spans="1:41" s="14" customFormat="1" ht="23.25" customHeight="1">
      <c r="A136" s="422" t="s">
        <v>995</v>
      </c>
      <c r="B136" s="508" t="s">
        <v>275</v>
      </c>
      <c r="C136" s="423"/>
      <c r="D136" s="423"/>
      <c r="E136" s="417">
        <v>0</v>
      </c>
      <c r="F136" s="417"/>
      <c r="G136" s="446">
        <f t="shared" ref="G136:T136" si="131">SUM(G137:G151)</f>
        <v>10115.23</v>
      </c>
      <c r="H136" s="446">
        <f t="shared" si="131"/>
        <v>9633.23</v>
      </c>
      <c r="I136" s="446">
        <f t="shared" si="131"/>
        <v>482</v>
      </c>
      <c r="J136" s="446">
        <f t="shared" si="131"/>
        <v>0</v>
      </c>
      <c r="K136" s="446">
        <f t="shared" si="131"/>
        <v>1083.52</v>
      </c>
      <c r="L136" s="446">
        <f t="shared" si="131"/>
        <v>1029.02</v>
      </c>
      <c r="M136" s="446">
        <f t="shared" si="131"/>
        <v>54.5</v>
      </c>
      <c r="N136" s="446">
        <f t="shared" si="131"/>
        <v>1083.52</v>
      </c>
      <c r="O136" s="446">
        <f t="shared" si="131"/>
        <v>1029.02</v>
      </c>
      <c r="P136" s="446">
        <f t="shared" si="131"/>
        <v>54.5</v>
      </c>
      <c r="Q136" s="446">
        <f t="shared" si="131"/>
        <v>10115.230000000001</v>
      </c>
      <c r="R136" s="446">
        <f t="shared" si="131"/>
        <v>9633.2300000000014</v>
      </c>
      <c r="S136" s="446">
        <f t="shared" si="131"/>
        <v>482</v>
      </c>
      <c r="T136" s="446">
        <f t="shared" si="131"/>
        <v>0</v>
      </c>
      <c r="U136" s="446">
        <f t="shared" ref="U136:AF136" si="132">SUM(U137:U147)</f>
        <v>6753.7800000000007</v>
      </c>
      <c r="V136" s="446">
        <f t="shared" si="132"/>
        <v>6404.7800000000007</v>
      </c>
      <c r="W136" s="446">
        <f t="shared" si="132"/>
        <v>349</v>
      </c>
      <c r="X136" s="446">
        <f t="shared" si="132"/>
        <v>1820.8</v>
      </c>
      <c r="Y136" s="446">
        <f t="shared" si="132"/>
        <v>1733.8</v>
      </c>
      <c r="Z136" s="446">
        <f t="shared" si="132"/>
        <v>87</v>
      </c>
      <c r="AA136" s="446">
        <f t="shared" si="132"/>
        <v>2449.88</v>
      </c>
      <c r="AB136" s="446">
        <f t="shared" si="132"/>
        <v>2324.38</v>
      </c>
      <c r="AC136" s="446">
        <f t="shared" si="132"/>
        <v>125.5</v>
      </c>
      <c r="AD136" s="446">
        <f t="shared" si="132"/>
        <v>2483.1</v>
      </c>
      <c r="AE136" s="446">
        <f t="shared" si="132"/>
        <v>2346.6</v>
      </c>
      <c r="AF136" s="446">
        <f t="shared" si="132"/>
        <v>136.5</v>
      </c>
      <c r="AG136" s="446">
        <f>SUM(AG137:AG151)</f>
        <v>3361.45</v>
      </c>
      <c r="AH136" s="446">
        <f>SUM(AH137:AH151)</f>
        <v>3228.45</v>
      </c>
      <c r="AI136" s="446">
        <f>SUM(AI137:AI151)</f>
        <v>133</v>
      </c>
      <c r="AJ136" s="446"/>
      <c r="AK136" s="446">
        <f>SUM(AK137:AK147)</f>
        <v>0</v>
      </c>
      <c r="AL136" s="16"/>
      <c r="AM136" s="368">
        <f>+'NĂM 2022'!K53+'NĂM 2023'!N59+'NĂM 2024'!J56+'NĂM 2025'!J50</f>
        <v>10115.23</v>
      </c>
      <c r="AN136" s="368">
        <f>+'NĂM 2022'!L53+'NĂM 2023'!O59+'NĂM 2024'!K56+'NĂM 2025'!K50</f>
        <v>9633.23</v>
      </c>
      <c r="AO136" s="368">
        <f>+'NĂM 2022'!M53+'NĂM 2023'!P59+'NĂM 2024'!L56+'NĂM 2025'!L50</f>
        <v>482</v>
      </c>
    </row>
    <row r="137" spans="1:41" ht="75" hidden="1">
      <c r="A137" s="27">
        <v>1</v>
      </c>
      <c r="B137" s="336" t="s">
        <v>276</v>
      </c>
      <c r="C137" s="27" t="s">
        <v>277</v>
      </c>
      <c r="D137" s="27"/>
      <c r="E137" s="8" t="s">
        <v>278</v>
      </c>
      <c r="F137" s="27" t="s">
        <v>52</v>
      </c>
      <c r="G137" s="445">
        <f t="shared" si="86"/>
        <v>1316.8</v>
      </c>
      <c r="H137" s="445">
        <v>1253.8</v>
      </c>
      <c r="I137" s="445">
        <v>63</v>
      </c>
      <c r="J137" s="451">
        <v>0</v>
      </c>
      <c r="K137" s="483">
        <f>+G137-Q137</f>
        <v>0</v>
      </c>
      <c r="L137" s="451"/>
      <c r="M137" s="451"/>
      <c r="N137" s="483"/>
      <c r="O137" s="451"/>
      <c r="P137" s="451"/>
      <c r="Q137" s="466">
        <f>+R137+S137</f>
        <v>1316.8</v>
      </c>
      <c r="R137" s="451">
        <v>1253.8</v>
      </c>
      <c r="S137" s="451">
        <v>63</v>
      </c>
      <c r="T137" s="451"/>
      <c r="U137" s="451">
        <f>+V137+W137</f>
        <v>1316.8</v>
      </c>
      <c r="V137" s="451">
        <f>+Y137+AB137+AE137</f>
        <v>1253.8</v>
      </c>
      <c r="W137" s="451">
        <f>+Z137+AC137+AF137</f>
        <v>63</v>
      </c>
      <c r="X137" s="445">
        <f t="shared" si="89"/>
        <v>1316.8</v>
      </c>
      <c r="Y137" s="445">
        <v>1253.8</v>
      </c>
      <c r="Z137" s="445">
        <v>63</v>
      </c>
      <c r="AA137" s="445"/>
      <c r="AB137" s="481"/>
      <c r="AC137" s="481"/>
      <c r="AD137" s="445"/>
      <c r="AE137" s="481"/>
      <c r="AF137" s="481"/>
      <c r="AG137" s="445"/>
      <c r="AH137" s="481"/>
      <c r="AI137" s="481"/>
      <c r="AJ137" s="445"/>
      <c r="AK137" s="451"/>
      <c r="AL137" s="15"/>
      <c r="AM137" s="506">
        <f>+G136-U136</f>
        <v>3361.4499999999989</v>
      </c>
      <c r="AN137" s="506">
        <f>+H136-V136</f>
        <v>3228.4499999999989</v>
      </c>
      <c r="AO137" s="506">
        <f>+I136-W136</f>
        <v>133</v>
      </c>
    </row>
    <row r="138" spans="1:41" ht="75" hidden="1">
      <c r="A138" s="27">
        <f>+A137+1</f>
        <v>2</v>
      </c>
      <c r="B138" s="336" t="s">
        <v>279</v>
      </c>
      <c r="C138" s="27" t="s">
        <v>280</v>
      </c>
      <c r="D138" s="27"/>
      <c r="E138" s="8" t="s">
        <v>281</v>
      </c>
      <c r="F138" s="27" t="s">
        <v>52</v>
      </c>
      <c r="G138" s="445">
        <f t="shared" si="86"/>
        <v>420</v>
      </c>
      <c r="H138" s="445">
        <v>400</v>
      </c>
      <c r="I138" s="445">
        <v>20</v>
      </c>
      <c r="J138" s="451">
        <v>0</v>
      </c>
      <c r="K138" s="483">
        <f t="shared" ref="K138:K150" si="133">+G138-Q138</f>
        <v>0</v>
      </c>
      <c r="L138" s="451"/>
      <c r="M138" s="451"/>
      <c r="N138" s="483"/>
      <c r="O138" s="451"/>
      <c r="P138" s="451"/>
      <c r="Q138" s="466">
        <f t="shared" ref="Q138:Q151" si="134">+R138+S138</f>
        <v>420</v>
      </c>
      <c r="R138" s="451">
        <v>400</v>
      </c>
      <c r="S138" s="451">
        <v>20</v>
      </c>
      <c r="T138" s="451"/>
      <c r="U138" s="451">
        <f t="shared" ref="U138:U147" si="135">+V138+W138</f>
        <v>420</v>
      </c>
      <c r="V138" s="451">
        <f t="shared" ref="V138:W150" si="136">+Y138+AB138+AE138</f>
        <v>400</v>
      </c>
      <c r="W138" s="451">
        <f t="shared" si="136"/>
        <v>20</v>
      </c>
      <c r="X138" s="445">
        <f t="shared" si="89"/>
        <v>420</v>
      </c>
      <c r="Y138" s="445">
        <v>400</v>
      </c>
      <c r="Z138" s="445">
        <v>20</v>
      </c>
      <c r="AA138" s="445"/>
      <c r="AB138" s="481"/>
      <c r="AC138" s="481"/>
      <c r="AD138" s="445"/>
      <c r="AE138" s="481"/>
      <c r="AF138" s="481"/>
      <c r="AG138" s="445"/>
      <c r="AH138" s="481"/>
      <c r="AI138" s="481"/>
      <c r="AJ138" s="445"/>
      <c r="AK138" s="451"/>
      <c r="AL138" s="15"/>
      <c r="AM138" s="365">
        <f>+AM137-AG136</f>
        <v>0</v>
      </c>
      <c r="AN138" s="365">
        <f t="shared" ref="AN138:AO138" si="137">+AN137-AH136</f>
        <v>0</v>
      </c>
      <c r="AO138" s="365">
        <f t="shared" si="137"/>
        <v>0</v>
      </c>
    </row>
    <row r="139" spans="1:41" ht="75" hidden="1">
      <c r="A139" s="27">
        <f t="shared" ref="A139:A151" si="138">+A138+1</f>
        <v>3</v>
      </c>
      <c r="B139" s="336" t="s">
        <v>282</v>
      </c>
      <c r="C139" s="27" t="s">
        <v>275</v>
      </c>
      <c r="D139" s="27"/>
      <c r="E139" s="8" t="s">
        <v>283</v>
      </c>
      <c r="F139" s="27" t="s">
        <v>52</v>
      </c>
      <c r="G139" s="445">
        <f t="shared" si="86"/>
        <v>84</v>
      </c>
      <c r="H139" s="445">
        <v>80</v>
      </c>
      <c r="I139" s="445">
        <v>4</v>
      </c>
      <c r="J139" s="451">
        <v>0</v>
      </c>
      <c r="K139" s="483">
        <f t="shared" si="133"/>
        <v>0</v>
      </c>
      <c r="L139" s="451"/>
      <c r="M139" s="451"/>
      <c r="N139" s="483"/>
      <c r="O139" s="451"/>
      <c r="P139" s="451"/>
      <c r="Q139" s="466">
        <f t="shared" si="134"/>
        <v>84</v>
      </c>
      <c r="R139" s="451">
        <v>80</v>
      </c>
      <c r="S139" s="451">
        <v>4</v>
      </c>
      <c r="T139" s="451"/>
      <c r="U139" s="451">
        <f t="shared" si="135"/>
        <v>84</v>
      </c>
      <c r="V139" s="451">
        <f t="shared" si="136"/>
        <v>80</v>
      </c>
      <c r="W139" s="451">
        <f t="shared" si="136"/>
        <v>4</v>
      </c>
      <c r="X139" s="445">
        <f t="shared" si="89"/>
        <v>84</v>
      </c>
      <c r="Y139" s="445">
        <v>80</v>
      </c>
      <c r="Z139" s="445">
        <v>4</v>
      </c>
      <c r="AA139" s="445"/>
      <c r="AB139" s="481"/>
      <c r="AC139" s="481"/>
      <c r="AD139" s="445"/>
      <c r="AE139" s="481"/>
      <c r="AF139" s="481"/>
      <c r="AG139" s="445"/>
      <c r="AH139" s="481"/>
      <c r="AI139" s="481"/>
      <c r="AJ139" s="445"/>
      <c r="AK139" s="451"/>
      <c r="AL139" s="15"/>
    </row>
    <row r="140" spans="1:41" ht="75" hidden="1">
      <c r="A140" s="27">
        <f t="shared" si="138"/>
        <v>4</v>
      </c>
      <c r="B140" s="336" t="s">
        <v>284</v>
      </c>
      <c r="C140" s="27" t="s">
        <v>285</v>
      </c>
      <c r="D140" s="27"/>
      <c r="E140" s="8" t="s">
        <v>286</v>
      </c>
      <c r="F140" s="27" t="s">
        <v>53</v>
      </c>
      <c r="G140" s="445">
        <f t="shared" si="86"/>
        <v>525</v>
      </c>
      <c r="H140" s="445">
        <v>500</v>
      </c>
      <c r="I140" s="445">
        <v>25</v>
      </c>
      <c r="J140" s="451">
        <v>0</v>
      </c>
      <c r="K140" s="483">
        <f>+L140+M140</f>
        <v>50</v>
      </c>
      <c r="L140" s="451">
        <f>+H140-R140</f>
        <v>50</v>
      </c>
      <c r="M140" s="451"/>
      <c r="N140" s="483">
        <f>+O140+P140</f>
        <v>5</v>
      </c>
      <c r="O140" s="451"/>
      <c r="P140" s="451">
        <f>+S140-I140</f>
        <v>5</v>
      </c>
      <c r="Q140" s="466">
        <f t="shared" si="134"/>
        <v>480</v>
      </c>
      <c r="R140" s="451">
        <v>450</v>
      </c>
      <c r="S140" s="451">
        <v>30</v>
      </c>
      <c r="T140" s="451"/>
      <c r="U140" s="451">
        <f t="shared" si="135"/>
        <v>480</v>
      </c>
      <c r="V140" s="451">
        <f t="shared" si="136"/>
        <v>450</v>
      </c>
      <c r="W140" s="451">
        <f t="shared" si="136"/>
        <v>30</v>
      </c>
      <c r="X140" s="445">
        <f t="shared" si="89"/>
        <v>0</v>
      </c>
      <c r="Y140" s="451"/>
      <c r="Z140" s="451"/>
      <c r="AA140" s="451">
        <f>+AB140+AC140</f>
        <v>480</v>
      </c>
      <c r="AB140" s="483">
        <v>450</v>
      </c>
      <c r="AC140" s="483">
        <v>30</v>
      </c>
      <c r="AD140" s="451"/>
      <c r="AE140" s="483"/>
      <c r="AF140" s="483"/>
      <c r="AG140" s="451"/>
      <c r="AH140" s="483"/>
      <c r="AI140" s="483"/>
      <c r="AJ140" s="451"/>
      <c r="AK140" s="451"/>
      <c r="AL140" s="15"/>
    </row>
    <row r="141" spans="1:41" ht="75" hidden="1">
      <c r="A141" s="27">
        <f t="shared" si="138"/>
        <v>5</v>
      </c>
      <c r="B141" s="336" t="s">
        <v>287</v>
      </c>
      <c r="C141" s="27" t="s">
        <v>288</v>
      </c>
      <c r="D141" s="27"/>
      <c r="E141" s="8" t="s">
        <v>289</v>
      </c>
      <c r="F141" s="27" t="s">
        <v>53</v>
      </c>
      <c r="G141" s="445">
        <f t="shared" si="86"/>
        <v>630</v>
      </c>
      <c r="H141" s="445">
        <v>600</v>
      </c>
      <c r="I141" s="445">
        <v>30</v>
      </c>
      <c r="J141" s="451">
        <v>0</v>
      </c>
      <c r="K141" s="483">
        <f>+L141+M141</f>
        <v>50</v>
      </c>
      <c r="L141" s="451">
        <f>+H141-R141</f>
        <v>50</v>
      </c>
      <c r="M141" s="451"/>
      <c r="N141" s="483">
        <f>+O141+P141</f>
        <v>10</v>
      </c>
      <c r="O141" s="451"/>
      <c r="P141" s="451">
        <f>+S141-I141</f>
        <v>10</v>
      </c>
      <c r="Q141" s="466">
        <f t="shared" si="134"/>
        <v>590</v>
      </c>
      <c r="R141" s="451">
        <v>550</v>
      </c>
      <c r="S141" s="451">
        <v>40</v>
      </c>
      <c r="T141" s="451"/>
      <c r="U141" s="451">
        <f t="shared" si="135"/>
        <v>590</v>
      </c>
      <c r="V141" s="451">
        <f t="shared" si="136"/>
        <v>550</v>
      </c>
      <c r="W141" s="451">
        <f t="shared" si="136"/>
        <v>40</v>
      </c>
      <c r="X141" s="445">
        <f t="shared" si="89"/>
        <v>0</v>
      </c>
      <c r="Y141" s="451"/>
      <c r="Z141" s="451"/>
      <c r="AA141" s="451">
        <f>+AB141+AC141</f>
        <v>590</v>
      </c>
      <c r="AB141" s="483">
        <v>550</v>
      </c>
      <c r="AC141" s="483">
        <v>40</v>
      </c>
      <c r="AD141" s="451"/>
      <c r="AE141" s="483"/>
      <c r="AF141" s="483"/>
      <c r="AG141" s="451"/>
      <c r="AH141" s="483"/>
      <c r="AI141" s="483"/>
      <c r="AJ141" s="451"/>
      <c r="AK141" s="451"/>
      <c r="AL141" s="15"/>
    </row>
    <row r="142" spans="1:41" ht="75" hidden="1">
      <c r="A142" s="27">
        <f t="shared" si="138"/>
        <v>6</v>
      </c>
      <c r="B142" s="336" t="s">
        <v>290</v>
      </c>
      <c r="C142" s="27" t="s">
        <v>291</v>
      </c>
      <c r="D142" s="27"/>
      <c r="E142" s="8" t="s">
        <v>281</v>
      </c>
      <c r="F142" s="27" t="s">
        <v>53</v>
      </c>
      <c r="G142" s="445">
        <f t="shared" si="86"/>
        <v>420</v>
      </c>
      <c r="H142" s="445">
        <v>400</v>
      </c>
      <c r="I142" s="445">
        <v>20</v>
      </c>
      <c r="J142" s="451">
        <v>0</v>
      </c>
      <c r="K142" s="483">
        <f t="shared" si="133"/>
        <v>0</v>
      </c>
      <c r="L142" s="451"/>
      <c r="M142" s="451"/>
      <c r="N142" s="483"/>
      <c r="O142" s="451"/>
      <c r="P142" s="451"/>
      <c r="Q142" s="466">
        <f t="shared" si="134"/>
        <v>420</v>
      </c>
      <c r="R142" s="451">
        <v>400</v>
      </c>
      <c r="S142" s="451">
        <v>20</v>
      </c>
      <c r="T142" s="451"/>
      <c r="U142" s="451">
        <f t="shared" si="135"/>
        <v>420</v>
      </c>
      <c r="V142" s="451">
        <f t="shared" si="136"/>
        <v>400</v>
      </c>
      <c r="W142" s="451">
        <f t="shared" si="136"/>
        <v>20</v>
      </c>
      <c r="X142" s="445">
        <f t="shared" si="89"/>
        <v>0</v>
      </c>
      <c r="Y142" s="451"/>
      <c r="Z142" s="451"/>
      <c r="AA142" s="451"/>
      <c r="AB142" s="483"/>
      <c r="AC142" s="483"/>
      <c r="AD142" s="451">
        <f>+AE142+AF142</f>
        <v>420</v>
      </c>
      <c r="AE142" s="483">
        <v>400</v>
      </c>
      <c r="AF142" s="483">
        <v>20</v>
      </c>
      <c r="AG142" s="451"/>
      <c r="AH142" s="483"/>
      <c r="AI142" s="483"/>
      <c r="AJ142" s="451"/>
      <c r="AK142" s="451"/>
      <c r="AL142" s="15"/>
    </row>
    <row r="143" spans="1:41" ht="75" hidden="1">
      <c r="A143" s="27">
        <f t="shared" si="138"/>
        <v>7</v>
      </c>
      <c r="B143" s="336" t="s">
        <v>292</v>
      </c>
      <c r="C143" s="27" t="s">
        <v>275</v>
      </c>
      <c r="D143" s="27"/>
      <c r="E143" s="8" t="s">
        <v>104</v>
      </c>
      <c r="F143" s="27" t="s">
        <v>53</v>
      </c>
      <c r="G143" s="445">
        <f t="shared" si="86"/>
        <v>735</v>
      </c>
      <c r="H143" s="445">
        <v>700</v>
      </c>
      <c r="I143" s="445">
        <v>35</v>
      </c>
      <c r="J143" s="451">
        <v>0</v>
      </c>
      <c r="K143" s="483">
        <f t="shared" si="133"/>
        <v>0</v>
      </c>
      <c r="L143" s="451"/>
      <c r="M143" s="451"/>
      <c r="N143" s="483"/>
      <c r="O143" s="451"/>
      <c r="P143" s="451"/>
      <c r="Q143" s="466">
        <f t="shared" si="134"/>
        <v>735</v>
      </c>
      <c r="R143" s="451">
        <v>700</v>
      </c>
      <c r="S143" s="451">
        <v>35</v>
      </c>
      <c r="T143" s="451"/>
      <c r="U143" s="451">
        <f t="shared" si="135"/>
        <v>735</v>
      </c>
      <c r="V143" s="451">
        <f t="shared" si="136"/>
        <v>700</v>
      </c>
      <c r="W143" s="451">
        <f t="shared" si="136"/>
        <v>35</v>
      </c>
      <c r="X143" s="445">
        <f t="shared" si="89"/>
        <v>0</v>
      </c>
      <c r="Y143" s="451"/>
      <c r="Z143" s="451"/>
      <c r="AA143" s="451">
        <f>+AB143+AC143</f>
        <v>735</v>
      </c>
      <c r="AB143" s="483">
        <v>700</v>
      </c>
      <c r="AC143" s="483">
        <v>35</v>
      </c>
      <c r="AD143" s="451"/>
      <c r="AE143" s="483"/>
      <c r="AF143" s="483"/>
      <c r="AG143" s="451"/>
      <c r="AH143" s="483"/>
      <c r="AI143" s="483"/>
      <c r="AJ143" s="451"/>
      <c r="AK143" s="451"/>
      <c r="AL143" s="15"/>
    </row>
    <row r="144" spans="1:41" ht="75" hidden="1">
      <c r="A144" s="27">
        <f t="shared" si="138"/>
        <v>8</v>
      </c>
      <c r="B144" s="336" t="s">
        <v>293</v>
      </c>
      <c r="C144" s="27" t="s">
        <v>288</v>
      </c>
      <c r="D144" s="27"/>
      <c r="E144" s="8" t="s">
        <v>278</v>
      </c>
      <c r="F144" s="27" t="s">
        <v>53</v>
      </c>
      <c r="G144" s="445">
        <f t="shared" si="86"/>
        <v>1260</v>
      </c>
      <c r="H144" s="445">
        <v>1200</v>
      </c>
      <c r="I144" s="445">
        <v>60</v>
      </c>
      <c r="J144" s="451">
        <v>0</v>
      </c>
      <c r="K144" s="483">
        <f>+L144+M144</f>
        <v>615.12</v>
      </c>
      <c r="L144" s="451">
        <f>+H144-R144</f>
        <v>575.62</v>
      </c>
      <c r="M144" s="451">
        <f>+I144-S144</f>
        <v>39.5</v>
      </c>
      <c r="N144" s="483"/>
      <c r="O144" s="451"/>
      <c r="P144" s="451"/>
      <c r="Q144" s="466">
        <f t="shared" si="134"/>
        <v>644.88</v>
      </c>
      <c r="R144" s="451">
        <v>624.38</v>
      </c>
      <c r="S144" s="451">
        <v>20.5</v>
      </c>
      <c r="T144" s="451"/>
      <c r="U144" s="451">
        <f t="shared" si="135"/>
        <v>644.88</v>
      </c>
      <c r="V144" s="451">
        <f t="shared" si="136"/>
        <v>624.38</v>
      </c>
      <c r="W144" s="451">
        <f t="shared" si="136"/>
        <v>20.5</v>
      </c>
      <c r="X144" s="445">
        <f t="shared" si="89"/>
        <v>0</v>
      </c>
      <c r="Y144" s="451"/>
      <c r="Z144" s="451"/>
      <c r="AA144" s="451">
        <f>+AB144+AC144</f>
        <v>644.88</v>
      </c>
      <c r="AB144" s="483">
        <v>624.38</v>
      </c>
      <c r="AC144" s="483">
        <v>20.5</v>
      </c>
      <c r="AD144" s="451"/>
      <c r="AE144" s="483"/>
      <c r="AF144" s="483"/>
      <c r="AG144" s="451"/>
      <c r="AH144" s="483"/>
      <c r="AI144" s="483"/>
      <c r="AJ144" s="451"/>
      <c r="AK144" s="451"/>
      <c r="AL144" s="15"/>
    </row>
    <row r="145" spans="1:41" ht="75" hidden="1">
      <c r="A145" s="27">
        <f t="shared" si="138"/>
        <v>9</v>
      </c>
      <c r="B145" s="336" t="s">
        <v>295</v>
      </c>
      <c r="C145" s="27" t="s">
        <v>275</v>
      </c>
      <c r="D145" s="27"/>
      <c r="E145" s="8" t="s">
        <v>104</v>
      </c>
      <c r="F145" s="27" t="s">
        <v>54</v>
      </c>
      <c r="G145" s="445">
        <f t="shared" si="86"/>
        <v>735</v>
      </c>
      <c r="H145" s="445">
        <v>700</v>
      </c>
      <c r="I145" s="445">
        <v>35</v>
      </c>
      <c r="J145" s="451">
        <v>0</v>
      </c>
      <c r="K145" s="483"/>
      <c r="L145" s="451"/>
      <c r="M145" s="451"/>
      <c r="N145" s="483">
        <f>+O145+P145</f>
        <v>226.5</v>
      </c>
      <c r="O145" s="451">
        <f>+R145-H145</f>
        <v>200</v>
      </c>
      <c r="P145" s="451">
        <f>+S145-I145</f>
        <v>26.5</v>
      </c>
      <c r="Q145" s="466">
        <f t="shared" si="134"/>
        <v>961.5</v>
      </c>
      <c r="R145" s="451">
        <v>900</v>
      </c>
      <c r="S145" s="451">
        <v>61.5</v>
      </c>
      <c r="T145" s="451"/>
      <c r="U145" s="451">
        <f t="shared" si="135"/>
        <v>961.5</v>
      </c>
      <c r="V145" s="451">
        <f t="shared" si="136"/>
        <v>900</v>
      </c>
      <c r="W145" s="451">
        <f t="shared" si="136"/>
        <v>61.5</v>
      </c>
      <c r="X145" s="445">
        <f t="shared" si="89"/>
        <v>0</v>
      </c>
      <c r="Y145" s="451"/>
      <c r="Z145" s="451"/>
      <c r="AA145" s="451"/>
      <c r="AB145" s="483"/>
      <c r="AC145" s="483"/>
      <c r="AD145" s="451">
        <f>+AE145+AF145</f>
        <v>961.5</v>
      </c>
      <c r="AE145" s="483">
        <v>900</v>
      </c>
      <c r="AF145" s="483">
        <v>61.5</v>
      </c>
      <c r="AG145" s="451"/>
      <c r="AH145" s="483"/>
      <c r="AI145" s="483"/>
      <c r="AJ145" s="451"/>
      <c r="AK145" s="451"/>
      <c r="AL145" s="15"/>
    </row>
    <row r="146" spans="1:41" ht="75" hidden="1">
      <c r="A146" s="27">
        <f t="shared" si="138"/>
        <v>10</v>
      </c>
      <c r="B146" s="336" t="s">
        <v>297</v>
      </c>
      <c r="C146" s="27" t="s">
        <v>298</v>
      </c>
      <c r="D146" s="27"/>
      <c r="E146" s="8" t="s">
        <v>128</v>
      </c>
      <c r="F146" s="27" t="s">
        <v>54</v>
      </c>
      <c r="G146" s="445">
        <f t="shared" si="86"/>
        <v>1050</v>
      </c>
      <c r="H146" s="445">
        <v>1000</v>
      </c>
      <c r="I146" s="445">
        <v>50</v>
      </c>
      <c r="J146" s="451">
        <v>0</v>
      </c>
      <c r="K146" s="483">
        <f>+L146+M146</f>
        <v>368.4</v>
      </c>
      <c r="L146" s="451">
        <f>+H146-R146</f>
        <v>353.4</v>
      </c>
      <c r="M146" s="451">
        <f>+I146-S146</f>
        <v>15</v>
      </c>
      <c r="N146" s="483"/>
      <c r="O146" s="451"/>
      <c r="P146" s="451"/>
      <c r="Q146" s="466">
        <f t="shared" si="134"/>
        <v>681.6</v>
      </c>
      <c r="R146" s="451">
        <v>646.6</v>
      </c>
      <c r="S146" s="451">
        <v>35</v>
      </c>
      <c r="T146" s="451"/>
      <c r="U146" s="451">
        <f t="shared" si="135"/>
        <v>681.6</v>
      </c>
      <c r="V146" s="451">
        <f t="shared" si="136"/>
        <v>646.6</v>
      </c>
      <c r="W146" s="451">
        <f t="shared" si="136"/>
        <v>35</v>
      </c>
      <c r="X146" s="445">
        <f t="shared" si="89"/>
        <v>0</v>
      </c>
      <c r="Y146" s="451"/>
      <c r="Z146" s="451"/>
      <c r="AA146" s="451"/>
      <c r="AB146" s="483"/>
      <c r="AC146" s="483"/>
      <c r="AD146" s="451">
        <f>+AE146+AF146</f>
        <v>681.6</v>
      </c>
      <c r="AE146" s="483">
        <v>646.6</v>
      </c>
      <c r="AF146" s="483">
        <v>35</v>
      </c>
      <c r="AG146" s="451"/>
      <c r="AH146" s="483"/>
      <c r="AI146" s="483"/>
      <c r="AJ146" s="451"/>
      <c r="AK146" s="451"/>
      <c r="AL146" s="15"/>
    </row>
    <row r="147" spans="1:41" ht="75" hidden="1">
      <c r="A147" s="27">
        <f t="shared" si="138"/>
        <v>11</v>
      </c>
      <c r="B147" s="336" t="s">
        <v>301</v>
      </c>
      <c r="C147" s="27" t="s">
        <v>300</v>
      </c>
      <c r="D147" s="27"/>
      <c r="E147" s="8" t="s">
        <v>281</v>
      </c>
      <c r="F147" s="27" t="s">
        <v>54</v>
      </c>
      <c r="G147" s="445">
        <f t="shared" si="86"/>
        <v>419.43</v>
      </c>
      <c r="H147" s="445">
        <v>399.43</v>
      </c>
      <c r="I147" s="445">
        <v>20</v>
      </c>
      <c r="J147" s="451">
        <v>0</v>
      </c>
      <c r="K147" s="483"/>
      <c r="L147" s="451"/>
      <c r="M147" s="451"/>
      <c r="N147" s="483">
        <f>+O147+P147</f>
        <v>0.56999999999999318</v>
      </c>
      <c r="O147" s="451">
        <f>+R147-H147</f>
        <v>0.56999999999999318</v>
      </c>
      <c r="P147" s="451"/>
      <c r="Q147" s="466">
        <f t="shared" si="134"/>
        <v>420</v>
      </c>
      <c r="R147" s="451">
        <v>400</v>
      </c>
      <c r="S147" s="451">
        <v>20</v>
      </c>
      <c r="T147" s="451"/>
      <c r="U147" s="451">
        <f t="shared" si="135"/>
        <v>420</v>
      </c>
      <c r="V147" s="451">
        <f t="shared" si="136"/>
        <v>400</v>
      </c>
      <c r="W147" s="451">
        <f t="shared" si="136"/>
        <v>20</v>
      </c>
      <c r="X147" s="445">
        <f t="shared" si="89"/>
        <v>0</v>
      </c>
      <c r="Y147" s="451"/>
      <c r="Z147" s="451"/>
      <c r="AA147" s="451"/>
      <c r="AB147" s="483"/>
      <c r="AC147" s="483"/>
      <c r="AD147" s="451">
        <f>+AE147+AF147</f>
        <v>420</v>
      </c>
      <c r="AE147" s="483">
        <v>400</v>
      </c>
      <c r="AF147" s="483">
        <v>20</v>
      </c>
      <c r="AG147" s="451"/>
      <c r="AH147" s="483"/>
      <c r="AI147" s="483"/>
      <c r="AJ147" s="451"/>
      <c r="AK147" s="451"/>
      <c r="AL147" s="15"/>
    </row>
    <row r="148" spans="1:41" ht="75" hidden="1">
      <c r="A148" s="27">
        <f t="shared" si="138"/>
        <v>12</v>
      </c>
      <c r="B148" s="336" t="s">
        <v>294</v>
      </c>
      <c r="C148" s="27" t="s">
        <v>277</v>
      </c>
      <c r="D148" s="27"/>
      <c r="E148" s="8" t="s">
        <v>281</v>
      </c>
      <c r="F148" s="27" t="s">
        <v>55</v>
      </c>
      <c r="G148" s="445">
        <f>H148+I148</f>
        <v>420</v>
      </c>
      <c r="H148" s="445">
        <v>400</v>
      </c>
      <c r="I148" s="445">
        <v>20</v>
      </c>
      <c r="J148" s="451">
        <v>0</v>
      </c>
      <c r="K148" s="483">
        <f t="shared" si="133"/>
        <v>0</v>
      </c>
      <c r="L148" s="451"/>
      <c r="M148" s="451"/>
      <c r="N148" s="483"/>
      <c r="O148" s="451"/>
      <c r="P148" s="451"/>
      <c r="Q148" s="466">
        <f t="shared" si="134"/>
        <v>420</v>
      </c>
      <c r="R148" s="451">
        <v>400</v>
      </c>
      <c r="S148" s="451">
        <v>20</v>
      </c>
      <c r="T148" s="451"/>
      <c r="U148" s="451">
        <f>+V148+W148</f>
        <v>0</v>
      </c>
      <c r="V148" s="451">
        <f t="shared" si="136"/>
        <v>0</v>
      </c>
      <c r="W148" s="451">
        <f t="shared" si="136"/>
        <v>0</v>
      </c>
      <c r="X148" s="445">
        <f>Y148+Z148</f>
        <v>0</v>
      </c>
      <c r="Y148" s="451"/>
      <c r="Z148" s="451"/>
      <c r="AA148" s="451"/>
      <c r="AB148" s="483"/>
      <c r="AC148" s="483"/>
      <c r="AD148" s="451"/>
      <c r="AE148" s="483"/>
      <c r="AF148" s="483"/>
      <c r="AG148" s="445">
        <f t="shared" ref="AG148:AG150" si="139">AH148+AI148</f>
        <v>420</v>
      </c>
      <c r="AH148" s="445">
        <v>400</v>
      </c>
      <c r="AI148" s="445">
        <v>20</v>
      </c>
      <c r="AJ148" s="451"/>
      <c r="AK148" s="451"/>
      <c r="AL148" s="15"/>
    </row>
    <row r="149" spans="1:41" ht="75" hidden="1">
      <c r="A149" s="27">
        <f t="shared" si="138"/>
        <v>13</v>
      </c>
      <c r="B149" s="336" t="s">
        <v>296</v>
      </c>
      <c r="C149" s="27" t="s">
        <v>288</v>
      </c>
      <c r="D149" s="27"/>
      <c r="E149" s="8" t="s">
        <v>128</v>
      </c>
      <c r="F149" s="27" t="s">
        <v>55</v>
      </c>
      <c r="G149" s="445">
        <f>H149+I149</f>
        <v>1050</v>
      </c>
      <c r="H149" s="445">
        <v>1000</v>
      </c>
      <c r="I149" s="445">
        <v>50</v>
      </c>
      <c r="J149" s="451">
        <v>0</v>
      </c>
      <c r="K149" s="483">
        <f t="shared" si="133"/>
        <v>0</v>
      </c>
      <c r="L149" s="451"/>
      <c r="M149" s="451"/>
      <c r="N149" s="483"/>
      <c r="O149" s="451"/>
      <c r="P149" s="451"/>
      <c r="Q149" s="466">
        <f t="shared" si="134"/>
        <v>1050</v>
      </c>
      <c r="R149" s="451">
        <v>1000</v>
      </c>
      <c r="S149" s="451">
        <v>50</v>
      </c>
      <c r="T149" s="451"/>
      <c r="U149" s="451">
        <f>+V149+W149</f>
        <v>0</v>
      </c>
      <c r="V149" s="451">
        <f t="shared" si="136"/>
        <v>0</v>
      </c>
      <c r="W149" s="451">
        <f t="shared" si="136"/>
        <v>0</v>
      </c>
      <c r="X149" s="445">
        <f>Y149+Z149</f>
        <v>0</v>
      </c>
      <c r="Y149" s="451"/>
      <c r="Z149" s="451"/>
      <c r="AA149" s="451"/>
      <c r="AB149" s="483"/>
      <c r="AC149" s="483"/>
      <c r="AD149" s="451"/>
      <c r="AE149" s="483"/>
      <c r="AF149" s="483"/>
      <c r="AG149" s="445">
        <f t="shared" si="139"/>
        <v>1050</v>
      </c>
      <c r="AH149" s="445">
        <v>1000</v>
      </c>
      <c r="AI149" s="445">
        <v>50</v>
      </c>
      <c r="AJ149" s="451"/>
      <c r="AK149" s="451"/>
      <c r="AL149" s="15"/>
    </row>
    <row r="150" spans="1:41" ht="75" hidden="1">
      <c r="A150" s="27">
        <f t="shared" si="138"/>
        <v>14</v>
      </c>
      <c r="B150" s="336" t="s">
        <v>299</v>
      </c>
      <c r="C150" s="27" t="s">
        <v>300</v>
      </c>
      <c r="D150" s="27"/>
      <c r="E150" s="8" t="s">
        <v>128</v>
      </c>
      <c r="F150" s="27" t="s">
        <v>55</v>
      </c>
      <c r="G150" s="445">
        <f>H150+I150</f>
        <v>1050</v>
      </c>
      <c r="H150" s="445">
        <v>1000</v>
      </c>
      <c r="I150" s="445">
        <v>50</v>
      </c>
      <c r="J150" s="451">
        <v>0</v>
      </c>
      <c r="K150" s="483">
        <f t="shared" si="133"/>
        <v>0</v>
      </c>
      <c r="L150" s="451"/>
      <c r="M150" s="451"/>
      <c r="N150" s="483"/>
      <c r="O150" s="451"/>
      <c r="P150" s="451"/>
      <c r="Q150" s="466">
        <f t="shared" si="134"/>
        <v>1050</v>
      </c>
      <c r="R150" s="451">
        <v>1000</v>
      </c>
      <c r="S150" s="451">
        <v>50</v>
      </c>
      <c r="T150" s="451"/>
      <c r="U150" s="451">
        <f>+V150+W150</f>
        <v>0</v>
      </c>
      <c r="V150" s="451">
        <f t="shared" si="136"/>
        <v>0</v>
      </c>
      <c r="W150" s="451">
        <f t="shared" si="136"/>
        <v>0</v>
      </c>
      <c r="X150" s="445">
        <f>Y150+Z150</f>
        <v>0</v>
      </c>
      <c r="Y150" s="451"/>
      <c r="Z150" s="451"/>
      <c r="AA150" s="451"/>
      <c r="AB150" s="483"/>
      <c r="AC150" s="483"/>
      <c r="AD150" s="451"/>
      <c r="AE150" s="483"/>
      <c r="AF150" s="483"/>
      <c r="AG150" s="445">
        <f t="shared" si="139"/>
        <v>1050</v>
      </c>
      <c r="AH150" s="445">
        <v>1000</v>
      </c>
      <c r="AI150" s="445">
        <v>50</v>
      </c>
      <c r="AJ150" s="451"/>
      <c r="AK150" s="451"/>
      <c r="AL150" s="15"/>
    </row>
    <row r="151" spans="1:41" ht="45" hidden="1">
      <c r="A151" s="27">
        <f t="shared" si="138"/>
        <v>15</v>
      </c>
      <c r="B151" s="336" t="s">
        <v>1135</v>
      </c>
      <c r="C151" s="27" t="s">
        <v>288</v>
      </c>
      <c r="D151" s="27"/>
      <c r="E151" s="8"/>
      <c r="F151" s="27" t="s">
        <v>55</v>
      </c>
      <c r="G151" s="445"/>
      <c r="H151" s="445"/>
      <c r="I151" s="445"/>
      <c r="J151" s="451"/>
      <c r="K151" s="483"/>
      <c r="L151" s="451"/>
      <c r="M151" s="451"/>
      <c r="N151" s="466">
        <f t="shared" ref="N151" si="140">+O151+P151</f>
        <v>841.45</v>
      </c>
      <c r="O151" s="451">
        <v>828.45</v>
      </c>
      <c r="P151" s="451">
        <v>13</v>
      </c>
      <c r="Q151" s="466">
        <f t="shared" si="134"/>
        <v>841.45</v>
      </c>
      <c r="R151" s="451">
        <v>828.45</v>
      </c>
      <c r="S151" s="451">
        <v>13</v>
      </c>
      <c r="T151" s="533" t="s">
        <v>1166</v>
      </c>
      <c r="U151" s="451"/>
      <c r="V151" s="451"/>
      <c r="W151" s="451"/>
      <c r="X151" s="445"/>
      <c r="Y151" s="451"/>
      <c r="Z151" s="451"/>
      <c r="AA151" s="451"/>
      <c r="AB151" s="483"/>
      <c r="AC151" s="483"/>
      <c r="AD151" s="451"/>
      <c r="AE151" s="483"/>
      <c r="AF151" s="483"/>
      <c r="AG151" s="451">
        <f>+AH151+AI151</f>
        <v>841.45</v>
      </c>
      <c r="AH151" s="483">
        <v>828.45</v>
      </c>
      <c r="AI151" s="483">
        <v>13</v>
      </c>
      <c r="AJ151" s="451"/>
      <c r="AK151" s="451"/>
      <c r="AL151" s="15"/>
    </row>
    <row r="152" spans="1:41" s="14" customFormat="1" ht="51.75" customHeight="1">
      <c r="A152" s="4" t="s">
        <v>996</v>
      </c>
      <c r="B152" s="507" t="s">
        <v>303</v>
      </c>
      <c r="C152" s="418"/>
      <c r="D152" s="418"/>
      <c r="E152" s="417">
        <v>0</v>
      </c>
      <c r="F152" s="417"/>
      <c r="G152" s="446">
        <f>SUM(G153:G162)</f>
        <v>11092.08</v>
      </c>
      <c r="H152" s="446">
        <f t="shared" ref="H152:T152" si="141">SUM(H153:H162)</f>
        <v>10563.98</v>
      </c>
      <c r="I152" s="446">
        <f t="shared" si="141"/>
        <v>528.1</v>
      </c>
      <c r="J152" s="446">
        <f t="shared" si="141"/>
        <v>0</v>
      </c>
      <c r="K152" s="446">
        <f t="shared" si="141"/>
        <v>683.35670000000016</v>
      </c>
      <c r="L152" s="446">
        <f t="shared" si="141"/>
        <v>669.74670000000015</v>
      </c>
      <c r="M152" s="446">
        <f t="shared" si="141"/>
        <v>13.61</v>
      </c>
      <c r="N152" s="446">
        <f t="shared" si="141"/>
        <v>683.35670000000005</v>
      </c>
      <c r="O152" s="446">
        <f t="shared" si="141"/>
        <v>669.74670000000003</v>
      </c>
      <c r="P152" s="446">
        <f t="shared" si="141"/>
        <v>13.610000000000007</v>
      </c>
      <c r="Q152" s="446">
        <f t="shared" si="141"/>
        <v>11092.08</v>
      </c>
      <c r="R152" s="446">
        <f t="shared" si="141"/>
        <v>10563.98</v>
      </c>
      <c r="S152" s="446">
        <f t="shared" si="141"/>
        <v>528.1</v>
      </c>
      <c r="T152" s="446">
        <f t="shared" si="141"/>
        <v>0</v>
      </c>
      <c r="U152" s="446">
        <f t="shared" ref="U152:AK152" si="142">SUM(U153:U161)</f>
        <v>7387.6432999999997</v>
      </c>
      <c r="V152" s="446">
        <f t="shared" si="142"/>
        <v>7005.2533000000003</v>
      </c>
      <c r="W152" s="446">
        <f t="shared" si="142"/>
        <v>382.39</v>
      </c>
      <c r="X152" s="446">
        <f t="shared" si="142"/>
        <v>1446.05</v>
      </c>
      <c r="Y152" s="446">
        <f t="shared" si="142"/>
        <v>1351</v>
      </c>
      <c r="Z152" s="446">
        <f t="shared" si="142"/>
        <v>95.05</v>
      </c>
      <c r="AA152" s="446">
        <f t="shared" si="142"/>
        <v>3218.5933</v>
      </c>
      <c r="AB152" s="446">
        <f t="shared" si="142"/>
        <v>3080.9533000000001</v>
      </c>
      <c r="AC152" s="446">
        <f t="shared" si="142"/>
        <v>137.63999999999999</v>
      </c>
      <c r="AD152" s="446">
        <f t="shared" si="142"/>
        <v>2723</v>
      </c>
      <c r="AE152" s="446">
        <f t="shared" si="142"/>
        <v>2573.3000000000002</v>
      </c>
      <c r="AF152" s="446">
        <f t="shared" si="142"/>
        <v>149.69999999999999</v>
      </c>
      <c r="AG152" s="446">
        <f>SUM(AG153:AG162)</f>
        <v>3704.4367000000002</v>
      </c>
      <c r="AH152" s="446">
        <f t="shared" ref="AH152:AI152" si="143">SUM(AH153:AH162)</f>
        <v>3558.7267000000002</v>
      </c>
      <c r="AI152" s="446">
        <f t="shared" si="143"/>
        <v>145.70999999999998</v>
      </c>
      <c r="AJ152" s="446"/>
      <c r="AK152" s="446">
        <f t="shared" si="142"/>
        <v>0</v>
      </c>
      <c r="AL152" s="16"/>
      <c r="AM152" s="368">
        <f>+'NĂM 2022'!K57+'NĂM 2023'!N65+'NĂM 2024'!J60+'NĂM 2025'!J54</f>
        <v>11092.08</v>
      </c>
      <c r="AN152" s="368">
        <f>+'NĂM 2022'!L57+'NĂM 2023'!O65+'NĂM 2024'!K60+'NĂM 2025'!K54</f>
        <v>10563.98</v>
      </c>
      <c r="AO152" s="368">
        <f>+'NĂM 2022'!M57+'NĂM 2023'!P65+'NĂM 2024'!L60+'NĂM 2025'!L54</f>
        <v>528.09999999999991</v>
      </c>
    </row>
    <row r="153" spans="1:41" ht="51.75" hidden="1" customHeight="1">
      <c r="A153" s="8">
        <v>1</v>
      </c>
      <c r="B153" s="328" t="s">
        <v>304</v>
      </c>
      <c r="C153" s="8" t="s">
        <v>303</v>
      </c>
      <c r="D153" s="8"/>
      <c r="E153" s="8" t="s">
        <v>305</v>
      </c>
      <c r="F153" s="27" t="s">
        <v>52</v>
      </c>
      <c r="G153" s="445">
        <f t="shared" si="86"/>
        <v>1996.05</v>
      </c>
      <c r="H153" s="445">
        <v>1901</v>
      </c>
      <c r="I153" s="445">
        <v>95.05</v>
      </c>
      <c r="J153" s="451">
        <v>0</v>
      </c>
      <c r="K153" s="483">
        <f>+L153+M153</f>
        <v>17.996700000000146</v>
      </c>
      <c r="L153" s="451">
        <f>+H153-R153</f>
        <v>17.996700000000146</v>
      </c>
      <c r="M153" s="451">
        <f>+I153-S153</f>
        <v>0</v>
      </c>
      <c r="N153" s="483"/>
      <c r="O153" s="451"/>
      <c r="P153" s="451"/>
      <c r="Q153" s="466">
        <v>1978.0532999999998</v>
      </c>
      <c r="R153" s="451">
        <v>1883.0032999999999</v>
      </c>
      <c r="S153" s="451">
        <v>95.05</v>
      </c>
      <c r="T153" s="451"/>
      <c r="U153" s="451">
        <f>+V153+W153</f>
        <v>1978.0532999999998</v>
      </c>
      <c r="V153" s="451">
        <f>+Y153+AB153+AE153</f>
        <v>1883.0032999999999</v>
      </c>
      <c r="W153" s="451">
        <f>+Z153+AC153+AF153</f>
        <v>95.05</v>
      </c>
      <c r="X153" s="445">
        <f t="shared" si="89"/>
        <v>1446.05</v>
      </c>
      <c r="Y153" s="445">
        <v>1351</v>
      </c>
      <c r="Z153" s="445">
        <v>95.05</v>
      </c>
      <c r="AA153" s="445">
        <f>+AB153</f>
        <v>532.00329999999997</v>
      </c>
      <c r="AB153" s="481">
        <f>550-17.9967</f>
        <v>532.00329999999997</v>
      </c>
      <c r="AC153" s="481"/>
      <c r="AD153" s="445"/>
      <c r="AE153" s="481"/>
      <c r="AF153" s="481"/>
      <c r="AG153" s="445"/>
      <c r="AH153" s="481"/>
      <c r="AI153" s="481"/>
      <c r="AJ153" s="445"/>
      <c r="AK153" s="451"/>
      <c r="AL153" s="15"/>
      <c r="AM153" s="506">
        <f>+G152-U152</f>
        <v>3704.4367000000002</v>
      </c>
      <c r="AN153" s="506">
        <f>+H152-V152</f>
        <v>3558.7266999999993</v>
      </c>
      <c r="AO153" s="506">
        <f>+I152-W152</f>
        <v>145.71000000000004</v>
      </c>
    </row>
    <row r="154" spans="1:41" ht="51.75" hidden="1" customHeight="1">
      <c r="A154" s="8">
        <f>+A153+1</f>
        <v>2</v>
      </c>
      <c r="B154" s="328" t="s">
        <v>306</v>
      </c>
      <c r="C154" s="8" t="s">
        <v>307</v>
      </c>
      <c r="D154" s="8"/>
      <c r="E154" s="8" t="s">
        <v>308</v>
      </c>
      <c r="F154" s="8" t="s">
        <v>53</v>
      </c>
      <c r="G154" s="445">
        <f t="shared" si="86"/>
        <v>2191.25</v>
      </c>
      <c r="H154" s="445">
        <v>2087</v>
      </c>
      <c r="I154" s="445">
        <v>104.25</v>
      </c>
      <c r="J154" s="451">
        <v>0</v>
      </c>
      <c r="K154" s="483">
        <f t="shared" ref="K154:K159" si="144">+L154+M154</f>
        <v>304.65999999999997</v>
      </c>
      <c r="L154" s="451">
        <f t="shared" ref="L154:M159" si="145">+H154-R154</f>
        <v>298.04999999999995</v>
      </c>
      <c r="M154" s="451">
        <f t="shared" si="145"/>
        <v>6.6099999999999994</v>
      </c>
      <c r="N154" s="483"/>
      <c r="O154" s="451"/>
      <c r="P154" s="451"/>
      <c r="Q154" s="466">
        <v>1886.5900000000001</v>
      </c>
      <c r="R154" s="451">
        <v>1788.95</v>
      </c>
      <c r="S154" s="451">
        <v>97.64</v>
      </c>
      <c r="T154" s="451"/>
      <c r="U154" s="451">
        <f t="shared" ref="U154:U161" si="146">+V154+W154</f>
        <v>1886.5900000000001</v>
      </c>
      <c r="V154" s="451">
        <f t="shared" ref="V154:W161" si="147">+Y154+AB154+AE154</f>
        <v>1788.95</v>
      </c>
      <c r="W154" s="451">
        <f t="shared" si="147"/>
        <v>97.64</v>
      </c>
      <c r="X154" s="445">
        <f t="shared" si="89"/>
        <v>0</v>
      </c>
      <c r="Y154" s="451"/>
      <c r="Z154" s="451"/>
      <c r="AA154" s="451">
        <f>+AB154+AC154</f>
        <v>1886.5900000000001</v>
      </c>
      <c r="AB154" s="483">
        <v>1788.95</v>
      </c>
      <c r="AC154" s="483">
        <v>97.64</v>
      </c>
      <c r="AD154" s="451"/>
      <c r="AE154" s="483"/>
      <c r="AF154" s="483"/>
      <c r="AG154" s="451"/>
      <c r="AH154" s="483"/>
      <c r="AI154" s="483"/>
      <c r="AJ154" s="451"/>
      <c r="AK154" s="451"/>
      <c r="AL154" s="15"/>
      <c r="AM154" s="513">
        <f>+AM153-AG152</f>
        <v>0</v>
      </c>
      <c r="AN154" s="513">
        <f t="shared" ref="AN154:AO154" si="148">+AN153-AH152</f>
        <v>0</v>
      </c>
      <c r="AO154" s="513">
        <f t="shared" si="148"/>
        <v>0</v>
      </c>
    </row>
    <row r="155" spans="1:41" ht="51.75" hidden="1" customHeight="1">
      <c r="A155" s="8">
        <f t="shared" ref="A155:A162" si="149">+A154+1</f>
        <v>3</v>
      </c>
      <c r="B155" s="328" t="s">
        <v>309</v>
      </c>
      <c r="C155" s="8" t="s">
        <v>310</v>
      </c>
      <c r="D155" s="8"/>
      <c r="E155" s="8" t="s">
        <v>311</v>
      </c>
      <c r="F155" s="8" t="s">
        <v>53</v>
      </c>
      <c r="G155" s="445">
        <f t="shared" si="86"/>
        <v>420</v>
      </c>
      <c r="H155" s="445">
        <v>400</v>
      </c>
      <c r="I155" s="445">
        <v>20</v>
      </c>
      <c r="J155" s="451">
        <v>0</v>
      </c>
      <c r="K155" s="483">
        <f t="shared" si="144"/>
        <v>20</v>
      </c>
      <c r="L155" s="451">
        <f t="shared" si="145"/>
        <v>20</v>
      </c>
      <c r="M155" s="451">
        <f t="shared" si="145"/>
        <v>0</v>
      </c>
      <c r="N155" s="483"/>
      <c r="O155" s="451"/>
      <c r="P155" s="451"/>
      <c r="Q155" s="466">
        <v>400</v>
      </c>
      <c r="R155" s="451">
        <v>380</v>
      </c>
      <c r="S155" s="451">
        <v>20</v>
      </c>
      <c r="T155" s="451"/>
      <c r="U155" s="451">
        <f t="shared" si="146"/>
        <v>400</v>
      </c>
      <c r="V155" s="451">
        <f t="shared" si="147"/>
        <v>380</v>
      </c>
      <c r="W155" s="451">
        <f t="shared" si="147"/>
        <v>20</v>
      </c>
      <c r="X155" s="445">
        <f t="shared" si="89"/>
        <v>0</v>
      </c>
      <c r="Y155" s="451"/>
      <c r="Z155" s="451"/>
      <c r="AA155" s="451">
        <f t="shared" ref="AA155:AA156" si="150">+AB155+AC155</f>
        <v>400</v>
      </c>
      <c r="AB155" s="483">
        <v>380</v>
      </c>
      <c r="AC155" s="483">
        <v>20</v>
      </c>
      <c r="AD155" s="451"/>
      <c r="AE155" s="483"/>
      <c r="AF155" s="483"/>
      <c r="AG155" s="451"/>
      <c r="AH155" s="483"/>
      <c r="AI155" s="483"/>
      <c r="AJ155" s="451"/>
      <c r="AK155" s="451"/>
      <c r="AL155" s="15"/>
    </row>
    <row r="156" spans="1:41" ht="51.75" hidden="1" customHeight="1">
      <c r="A156" s="8">
        <f t="shared" si="149"/>
        <v>4</v>
      </c>
      <c r="B156" s="328" t="s">
        <v>312</v>
      </c>
      <c r="C156" s="8" t="s">
        <v>313</v>
      </c>
      <c r="D156" s="8"/>
      <c r="E156" s="8" t="s">
        <v>94</v>
      </c>
      <c r="F156" s="8" t="s">
        <v>53</v>
      </c>
      <c r="G156" s="445">
        <f t="shared" si="86"/>
        <v>420</v>
      </c>
      <c r="H156" s="445">
        <v>400</v>
      </c>
      <c r="I156" s="445">
        <v>20</v>
      </c>
      <c r="J156" s="451">
        <v>0</v>
      </c>
      <c r="K156" s="483">
        <f t="shared" si="144"/>
        <v>20</v>
      </c>
      <c r="L156" s="451">
        <f t="shared" si="145"/>
        <v>20</v>
      </c>
      <c r="M156" s="451">
        <f t="shared" si="145"/>
        <v>0</v>
      </c>
      <c r="N156" s="483"/>
      <c r="O156" s="451"/>
      <c r="P156" s="451"/>
      <c r="Q156" s="466">
        <v>400</v>
      </c>
      <c r="R156" s="451">
        <v>380</v>
      </c>
      <c r="S156" s="451">
        <v>20</v>
      </c>
      <c r="T156" s="451"/>
      <c r="U156" s="451">
        <f t="shared" si="146"/>
        <v>400</v>
      </c>
      <c r="V156" s="451">
        <f t="shared" si="147"/>
        <v>380</v>
      </c>
      <c r="W156" s="451">
        <f t="shared" si="147"/>
        <v>20</v>
      </c>
      <c r="X156" s="445">
        <f t="shared" si="89"/>
        <v>0</v>
      </c>
      <c r="Y156" s="451"/>
      <c r="Z156" s="451"/>
      <c r="AA156" s="451">
        <f t="shared" si="150"/>
        <v>400</v>
      </c>
      <c r="AB156" s="483">
        <v>380</v>
      </c>
      <c r="AC156" s="483">
        <v>20</v>
      </c>
      <c r="AD156" s="451"/>
      <c r="AE156" s="483"/>
      <c r="AF156" s="483"/>
      <c r="AG156" s="451"/>
      <c r="AH156" s="483"/>
      <c r="AI156" s="483"/>
      <c r="AJ156" s="451"/>
      <c r="AK156" s="451"/>
      <c r="AL156" s="15"/>
    </row>
    <row r="157" spans="1:41" ht="51.75" hidden="1" customHeight="1">
      <c r="A157" s="8">
        <f t="shared" si="149"/>
        <v>5</v>
      </c>
      <c r="B157" s="328" t="s">
        <v>1130</v>
      </c>
      <c r="C157" s="8" t="s">
        <v>1131</v>
      </c>
      <c r="D157" s="8"/>
      <c r="E157" s="8" t="s">
        <v>315</v>
      </c>
      <c r="F157" s="27" t="s">
        <v>54</v>
      </c>
      <c r="G157" s="445">
        <f t="shared" si="86"/>
        <v>2191.35</v>
      </c>
      <c r="H157" s="445">
        <v>2087</v>
      </c>
      <c r="I157" s="445">
        <v>104.35</v>
      </c>
      <c r="J157" s="451"/>
      <c r="K157" s="483">
        <f t="shared" si="144"/>
        <v>80.700000000000045</v>
      </c>
      <c r="L157" s="451">
        <f t="shared" si="145"/>
        <v>80.700000000000045</v>
      </c>
      <c r="M157" s="451"/>
      <c r="N157" s="483">
        <f>+O157+P157</f>
        <v>12.350000000000009</v>
      </c>
      <c r="O157" s="451"/>
      <c r="P157" s="451">
        <f>+S157-I157</f>
        <v>12.350000000000009</v>
      </c>
      <c r="Q157" s="466">
        <v>2123</v>
      </c>
      <c r="R157" s="451">
        <v>2006.3</v>
      </c>
      <c r="S157" s="451">
        <v>116.7</v>
      </c>
      <c r="T157" s="451"/>
      <c r="U157" s="451">
        <f t="shared" si="146"/>
        <v>2123</v>
      </c>
      <c r="V157" s="451">
        <f t="shared" si="147"/>
        <v>2006.3</v>
      </c>
      <c r="W157" s="451">
        <f t="shared" si="147"/>
        <v>116.7</v>
      </c>
      <c r="X157" s="445">
        <f t="shared" si="89"/>
        <v>0</v>
      </c>
      <c r="Y157" s="451"/>
      <c r="Z157" s="451"/>
      <c r="AA157" s="451"/>
      <c r="AB157" s="483"/>
      <c r="AC157" s="483"/>
      <c r="AD157" s="451">
        <f>+AE157+AF157</f>
        <v>2123</v>
      </c>
      <c r="AE157" s="483">
        <v>2006.3</v>
      </c>
      <c r="AF157" s="483">
        <v>116.7</v>
      </c>
      <c r="AG157" s="451"/>
      <c r="AH157" s="483"/>
      <c r="AI157" s="483"/>
      <c r="AJ157" s="451"/>
      <c r="AK157" s="451"/>
      <c r="AL157" s="15"/>
    </row>
    <row r="158" spans="1:41" ht="51.75" hidden="1" customHeight="1">
      <c r="A158" s="8">
        <f t="shared" si="149"/>
        <v>6</v>
      </c>
      <c r="B158" s="328" t="s">
        <v>316</v>
      </c>
      <c r="C158" s="8" t="s">
        <v>317</v>
      </c>
      <c r="D158" s="8"/>
      <c r="E158" s="8" t="s">
        <v>318</v>
      </c>
      <c r="F158" s="27" t="s">
        <v>54</v>
      </c>
      <c r="G158" s="445">
        <f t="shared" si="86"/>
        <v>420</v>
      </c>
      <c r="H158" s="445">
        <v>400</v>
      </c>
      <c r="I158" s="445">
        <v>20</v>
      </c>
      <c r="J158" s="451">
        <v>0</v>
      </c>
      <c r="K158" s="483">
        <f t="shared" si="144"/>
        <v>120</v>
      </c>
      <c r="L158" s="451">
        <f t="shared" si="145"/>
        <v>116.5</v>
      </c>
      <c r="M158" s="451">
        <f t="shared" si="145"/>
        <v>3.5</v>
      </c>
      <c r="N158" s="483"/>
      <c r="O158" s="451"/>
      <c r="P158" s="451"/>
      <c r="Q158" s="466">
        <v>300</v>
      </c>
      <c r="R158" s="451">
        <v>283.5</v>
      </c>
      <c r="S158" s="451">
        <v>16.5</v>
      </c>
      <c r="T158" s="451"/>
      <c r="U158" s="451">
        <f t="shared" si="146"/>
        <v>300</v>
      </c>
      <c r="V158" s="451">
        <f t="shared" si="147"/>
        <v>283.5</v>
      </c>
      <c r="W158" s="451">
        <f t="shared" si="147"/>
        <v>16.5</v>
      </c>
      <c r="X158" s="445">
        <f t="shared" si="89"/>
        <v>0</v>
      </c>
      <c r="Y158" s="451"/>
      <c r="Z158" s="451"/>
      <c r="AA158" s="451"/>
      <c r="AB158" s="483"/>
      <c r="AC158" s="483"/>
      <c r="AD158" s="451">
        <f t="shared" ref="AD158:AD159" si="151">+AE158+AF158</f>
        <v>300</v>
      </c>
      <c r="AE158" s="483">
        <v>283.5</v>
      </c>
      <c r="AF158" s="483">
        <v>16.5</v>
      </c>
      <c r="AG158" s="451"/>
      <c r="AH158" s="483"/>
      <c r="AI158" s="483"/>
      <c r="AJ158" s="451"/>
      <c r="AK158" s="451"/>
      <c r="AL158" s="15"/>
    </row>
    <row r="159" spans="1:41" ht="51.75" hidden="1" customHeight="1">
      <c r="A159" s="8">
        <f t="shared" si="149"/>
        <v>7</v>
      </c>
      <c r="B159" s="328" t="s">
        <v>319</v>
      </c>
      <c r="C159" s="8" t="s">
        <v>320</v>
      </c>
      <c r="D159" s="8"/>
      <c r="E159" s="8" t="s">
        <v>321</v>
      </c>
      <c r="F159" s="27" t="s">
        <v>54</v>
      </c>
      <c r="G159" s="445">
        <f t="shared" si="86"/>
        <v>420</v>
      </c>
      <c r="H159" s="445">
        <v>400</v>
      </c>
      <c r="I159" s="445">
        <v>20</v>
      </c>
      <c r="J159" s="451">
        <v>0</v>
      </c>
      <c r="K159" s="483">
        <f t="shared" si="144"/>
        <v>120</v>
      </c>
      <c r="L159" s="451">
        <f t="shared" si="145"/>
        <v>116.5</v>
      </c>
      <c r="M159" s="451">
        <f t="shared" si="145"/>
        <v>3.5</v>
      </c>
      <c r="N159" s="483"/>
      <c r="O159" s="451"/>
      <c r="P159" s="451"/>
      <c r="Q159" s="466">
        <v>300</v>
      </c>
      <c r="R159" s="451">
        <v>283.5</v>
      </c>
      <c r="S159" s="451">
        <v>16.5</v>
      </c>
      <c r="T159" s="451"/>
      <c r="U159" s="451">
        <f t="shared" si="146"/>
        <v>300</v>
      </c>
      <c r="V159" s="451">
        <f t="shared" si="147"/>
        <v>283.5</v>
      </c>
      <c r="W159" s="451">
        <f t="shared" si="147"/>
        <v>16.5</v>
      </c>
      <c r="X159" s="445">
        <f t="shared" si="89"/>
        <v>0</v>
      </c>
      <c r="Y159" s="451"/>
      <c r="Z159" s="451"/>
      <c r="AA159" s="451"/>
      <c r="AB159" s="483"/>
      <c r="AC159" s="483"/>
      <c r="AD159" s="451">
        <f t="shared" si="151"/>
        <v>300</v>
      </c>
      <c r="AE159" s="483">
        <v>283.5</v>
      </c>
      <c r="AF159" s="483">
        <v>16.5</v>
      </c>
      <c r="AG159" s="451"/>
      <c r="AH159" s="483"/>
      <c r="AI159" s="483"/>
      <c r="AJ159" s="451"/>
      <c r="AK159" s="451"/>
      <c r="AL159" s="15"/>
    </row>
    <row r="160" spans="1:41" ht="51.75" hidden="1" customHeight="1">
      <c r="A160" s="8">
        <f t="shared" si="149"/>
        <v>8</v>
      </c>
      <c r="B160" s="328" t="s">
        <v>322</v>
      </c>
      <c r="C160" s="8" t="s">
        <v>57</v>
      </c>
      <c r="D160" s="8"/>
      <c r="E160" s="8" t="s">
        <v>323</v>
      </c>
      <c r="F160" s="8" t="s">
        <v>55</v>
      </c>
      <c r="G160" s="445">
        <f t="shared" si="86"/>
        <v>1575</v>
      </c>
      <c r="H160" s="445">
        <v>1500</v>
      </c>
      <c r="I160" s="445">
        <v>75</v>
      </c>
      <c r="J160" s="451">
        <v>0</v>
      </c>
      <c r="K160" s="483">
        <f t="shared" ref="K160:K161" si="152">+G160-Q160</f>
        <v>0</v>
      </c>
      <c r="L160" s="451"/>
      <c r="M160" s="451"/>
      <c r="N160" s="483"/>
      <c r="O160" s="451"/>
      <c r="P160" s="451"/>
      <c r="Q160" s="445">
        <f t="shared" ref="Q160:Q161" si="153">R160+S160</f>
        <v>1575</v>
      </c>
      <c r="R160" s="445">
        <v>1500</v>
      </c>
      <c r="S160" s="445">
        <v>75</v>
      </c>
      <c r="T160" s="451"/>
      <c r="U160" s="451">
        <f t="shared" si="146"/>
        <v>0</v>
      </c>
      <c r="V160" s="451">
        <f t="shared" si="147"/>
        <v>0</v>
      </c>
      <c r="W160" s="451">
        <f t="shared" si="147"/>
        <v>0</v>
      </c>
      <c r="X160" s="445">
        <f t="shared" si="89"/>
        <v>0</v>
      </c>
      <c r="Y160" s="451"/>
      <c r="Z160" s="451"/>
      <c r="AA160" s="451"/>
      <c r="AB160" s="483"/>
      <c r="AC160" s="483"/>
      <c r="AD160" s="451"/>
      <c r="AE160" s="483"/>
      <c r="AF160" s="483"/>
      <c r="AG160" s="445">
        <f t="shared" ref="AG160:AG161" si="154">AH160+AI160</f>
        <v>1575</v>
      </c>
      <c r="AH160" s="445">
        <v>1500</v>
      </c>
      <c r="AI160" s="445">
        <v>75</v>
      </c>
      <c r="AJ160" s="451"/>
      <c r="AK160" s="451"/>
      <c r="AL160" s="15"/>
    </row>
    <row r="161" spans="1:41" ht="51.75" hidden="1" customHeight="1">
      <c r="A161" s="8">
        <f t="shared" si="149"/>
        <v>9</v>
      </c>
      <c r="B161" s="328" t="s">
        <v>324</v>
      </c>
      <c r="C161" s="8" t="s">
        <v>325</v>
      </c>
      <c r="D161" s="8"/>
      <c r="E161" s="8" t="s">
        <v>326</v>
      </c>
      <c r="F161" s="8" t="s">
        <v>55</v>
      </c>
      <c r="G161" s="445">
        <f t="shared" si="86"/>
        <v>1458.43</v>
      </c>
      <c r="H161" s="445">
        <v>1388.98</v>
      </c>
      <c r="I161" s="445">
        <v>69.45</v>
      </c>
      <c r="J161" s="451">
        <v>0</v>
      </c>
      <c r="K161" s="483">
        <f t="shared" si="152"/>
        <v>0</v>
      </c>
      <c r="L161" s="451"/>
      <c r="M161" s="451"/>
      <c r="N161" s="483"/>
      <c r="O161" s="451"/>
      <c r="P161" s="451"/>
      <c r="Q161" s="445">
        <f t="shared" si="153"/>
        <v>1458.43</v>
      </c>
      <c r="R161" s="445">
        <v>1388.98</v>
      </c>
      <c r="S161" s="445">
        <v>69.45</v>
      </c>
      <c r="T161" s="451"/>
      <c r="U161" s="451">
        <f t="shared" si="146"/>
        <v>0</v>
      </c>
      <c r="V161" s="451">
        <f t="shared" si="147"/>
        <v>0</v>
      </c>
      <c r="W161" s="451">
        <f t="shared" si="147"/>
        <v>0</v>
      </c>
      <c r="X161" s="445">
        <f t="shared" si="89"/>
        <v>0</v>
      </c>
      <c r="Y161" s="451"/>
      <c r="Z161" s="451"/>
      <c r="AA161" s="451"/>
      <c r="AB161" s="483"/>
      <c r="AC161" s="483"/>
      <c r="AD161" s="451"/>
      <c r="AE161" s="483"/>
      <c r="AF161" s="483"/>
      <c r="AG161" s="445">
        <f t="shared" si="154"/>
        <v>1458.43</v>
      </c>
      <c r="AH161" s="445">
        <v>1388.98</v>
      </c>
      <c r="AI161" s="445">
        <v>69.45</v>
      </c>
      <c r="AJ161" s="451"/>
      <c r="AK161" s="451"/>
      <c r="AL161" s="15"/>
    </row>
    <row r="162" spans="1:41" ht="51.75" hidden="1" customHeight="1">
      <c r="A162" s="8">
        <f t="shared" si="149"/>
        <v>10</v>
      </c>
      <c r="B162" s="328" t="s">
        <v>1148</v>
      </c>
      <c r="C162" s="8" t="s">
        <v>1171</v>
      </c>
      <c r="D162" s="8"/>
      <c r="E162" s="8"/>
      <c r="F162" s="8" t="s">
        <v>55</v>
      </c>
      <c r="G162" s="445"/>
      <c r="H162" s="445"/>
      <c r="I162" s="445"/>
      <c r="J162" s="451"/>
      <c r="K162" s="483"/>
      <c r="L162" s="451"/>
      <c r="M162" s="451"/>
      <c r="N162" s="451">
        <f>+O162+P162</f>
        <v>671.00670000000002</v>
      </c>
      <c r="O162" s="483">
        <f>620.35+49.3967</f>
        <v>669.74670000000003</v>
      </c>
      <c r="P162" s="514">
        <f>32.66-31.4</f>
        <v>1.259999999999998</v>
      </c>
      <c r="Q162" s="451">
        <f>+R162+S162</f>
        <v>671.00670000000002</v>
      </c>
      <c r="R162" s="483">
        <f>620.35+49.3967</f>
        <v>669.74670000000003</v>
      </c>
      <c r="S162" s="514">
        <f>32.66-31.4</f>
        <v>1.259999999999998</v>
      </c>
      <c r="T162" s="533" t="s">
        <v>1166</v>
      </c>
      <c r="U162" s="451"/>
      <c r="V162" s="451"/>
      <c r="W162" s="451"/>
      <c r="X162" s="445"/>
      <c r="Y162" s="451"/>
      <c r="Z162" s="451"/>
      <c r="AA162" s="451"/>
      <c r="AB162" s="483"/>
      <c r="AC162" s="483"/>
      <c r="AD162" s="451"/>
      <c r="AE162" s="483"/>
      <c r="AF162" s="483"/>
      <c r="AG162" s="451">
        <f>+AH162+AI162</f>
        <v>671.00670000000002</v>
      </c>
      <c r="AH162" s="483">
        <f>620.35+49.3967</f>
        <v>669.74670000000003</v>
      </c>
      <c r="AI162" s="514">
        <f>32.66-31.4</f>
        <v>1.259999999999998</v>
      </c>
      <c r="AJ162" s="451"/>
      <c r="AK162" s="451"/>
      <c r="AL162" s="15"/>
    </row>
    <row r="163" spans="1:41" s="14" customFormat="1" ht="51.75" customHeight="1">
      <c r="A163" s="4" t="s">
        <v>997</v>
      </c>
      <c r="B163" s="507" t="s">
        <v>328</v>
      </c>
      <c r="C163" s="418"/>
      <c r="D163" s="418"/>
      <c r="E163" s="417">
        <v>0</v>
      </c>
      <c r="F163" s="417"/>
      <c r="G163" s="446">
        <f t="shared" ref="G163:T163" si="155">SUM(G164:G180)</f>
        <v>10137.530000000001</v>
      </c>
      <c r="H163" s="446">
        <f t="shared" si="155"/>
        <v>9654.67</v>
      </c>
      <c r="I163" s="446">
        <f t="shared" si="155"/>
        <v>482.85999999999996</v>
      </c>
      <c r="J163" s="446">
        <f t="shared" si="155"/>
        <v>0</v>
      </c>
      <c r="K163" s="446">
        <f t="shared" si="155"/>
        <v>1794.5600000000002</v>
      </c>
      <c r="L163" s="446">
        <f t="shared" si="155"/>
        <v>1720.2</v>
      </c>
      <c r="M163" s="446">
        <f t="shared" si="155"/>
        <v>74.36</v>
      </c>
      <c r="N163" s="446">
        <f t="shared" si="155"/>
        <v>1794.56</v>
      </c>
      <c r="O163" s="446">
        <f t="shared" si="155"/>
        <v>1720.1999999999998</v>
      </c>
      <c r="P163" s="446">
        <f t="shared" si="155"/>
        <v>74.36</v>
      </c>
      <c r="Q163" s="446">
        <f t="shared" si="155"/>
        <v>10137.530000000001</v>
      </c>
      <c r="R163" s="446">
        <f t="shared" si="155"/>
        <v>9654.6699999999983</v>
      </c>
      <c r="S163" s="446">
        <f t="shared" si="155"/>
        <v>482.85999999999996</v>
      </c>
      <c r="T163" s="446">
        <f t="shared" si="155"/>
        <v>0</v>
      </c>
      <c r="U163" s="446">
        <f t="shared" ref="U163:AF163" si="156">SUM(U164:U173)</f>
        <v>6768.62</v>
      </c>
      <c r="V163" s="446">
        <f t="shared" si="156"/>
        <v>6419.03</v>
      </c>
      <c r="W163" s="446">
        <f t="shared" si="156"/>
        <v>349.59</v>
      </c>
      <c r="X163" s="446">
        <f t="shared" si="156"/>
        <v>1824.67</v>
      </c>
      <c r="Y163" s="446">
        <f t="shared" si="156"/>
        <v>1737.67</v>
      </c>
      <c r="Z163" s="446">
        <f t="shared" si="156"/>
        <v>87</v>
      </c>
      <c r="AA163" s="446">
        <f t="shared" si="156"/>
        <v>2455.35</v>
      </c>
      <c r="AB163" s="446">
        <f t="shared" si="156"/>
        <v>2329.56</v>
      </c>
      <c r="AC163" s="446">
        <f t="shared" si="156"/>
        <v>125.78999999999999</v>
      </c>
      <c r="AD163" s="446">
        <f t="shared" si="156"/>
        <v>2488.6</v>
      </c>
      <c r="AE163" s="446">
        <f t="shared" si="156"/>
        <v>2351.8000000000002</v>
      </c>
      <c r="AF163" s="446">
        <f t="shared" si="156"/>
        <v>136.79999999999998</v>
      </c>
      <c r="AG163" s="446">
        <f>SUM(AG164:AG180)</f>
        <v>3368.91</v>
      </c>
      <c r="AH163" s="446">
        <f>SUM(AH164:AH180)</f>
        <v>3235.64</v>
      </c>
      <c r="AI163" s="446">
        <f>SUM(AI164:AI180)</f>
        <v>133.27000000000001</v>
      </c>
      <c r="AJ163" s="446"/>
      <c r="AK163" s="446">
        <f>SUM(AK164:AK173)</f>
        <v>0</v>
      </c>
      <c r="AL163" s="16"/>
      <c r="AM163" s="368">
        <f>+'NĂM 2022'!K59+'NĂM 2023'!N69+'NĂM 2024'!J64+'NĂM 2025'!J57</f>
        <v>10137.529999999999</v>
      </c>
      <c r="AN163" s="368">
        <f>+'NĂM 2022'!L59+'NĂM 2023'!O69+'NĂM 2024'!K64+'NĂM 2025'!K57</f>
        <v>9654.67</v>
      </c>
      <c r="AO163" s="368">
        <f>+'NĂM 2022'!M59+'NĂM 2023'!P69+'NĂM 2024'!L64+'NĂM 2025'!L57</f>
        <v>482.86</v>
      </c>
    </row>
    <row r="164" spans="1:41" ht="75" hidden="1">
      <c r="A164" s="8">
        <v>1</v>
      </c>
      <c r="B164" s="328" t="s">
        <v>329</v>
      </c>
      <c r="C164" s="8" t="s">
        <v>330</v>
      </c>
      <c r="D164" s="8"/>
      <c r="E164" s="8" t="s">
        <v>128</v>
      </c>
      <c r="F164" s="27" t="s">
        <v>52</v>
      </c>
      <c r="G164" s="445">
        <f t="shared" ref="G164:G230" si="157">H164+I164</f>
        <v>1050</v>
      </c>
      <c r="H164" s="445">
        <v>1000</v>
      </c>
      <c r="I164" s="445">
        <v>50</v>
      </c>
      <c r="J164" s="451">
        <v>0</v>
      </c>
      <c r="K164" s="483">
        <f>+G164-Q164</f>
        <v>0</v>
      </c>
      <c r="L164" s="451"/>
      <c r="M164" s="451"/>
      <c r="N164" s="483"/>
      <c r="O164" s="451"/>
      <c r="P164" s="451"/>
      <c r="Q164" s="466">
        <v>1050</v>
      </c>
      <c r="R164" s="451">
        <v>1000</v>
      </c>
      <c r="S164" s="451">
        <v>50</v>
      </c>
      <c r="T164" s="451"/>
      <c r="U164" s="451">
        <f>+V164+W164</f>
        <v>1050</v>
      </c>
      <c r="V164" s="451">
        <f>+Y164+AB164+AE164</f>
        <v>1000</v>
      </c>
      <c r="W164" s="451">
        <f>+Z164+AC164+AF164</f>
        <v>50</v>
      </c>
      <c r="X164" s="445">
        <f t="shared" ref="X164:X230" si="158">Y164+Z164</f>
        <v>1050</v>
      </c>
      <c r="Y164" s="445">
        <v>1000</v>
      </c>
      <c r="Z164" s="445">
        <v>50</v>
      </c>
      <c r="AA164" s="445"/>
      <c r="AB164" s="481"/>
      <c r="AC164" s="481"/>
      <c r="AD164" s="445"/>
      <c r="AE164" s="481"/>
      <c r="AF164" s="481"/>
      <c r="AG164" s="445"/>
      <c r="AH164" s="481"/>
      <c r="AI164" s="481"/>
      <c r="AJ164" s="445"/>
      <c r="AK164" s="451"/>
      <c r="AL164" s="15"/>
      <c r="AM164" s="506">
        <f>+G163-U163</f>
        <v>3368.9100000000008</v>
      </c>
      <c r="AN164" s="506">
        <f>+H163-V163</f>
        <v>3235.6400000000003</v>
      </c>
      <c r="AO164" s="506">
        <f>+I163-W163</f>
        <v>133.26999999999998</v>
      </c>
    </row>
    <row r="165" spans="1:41" ht="75" hidden="1">
      <c r="A165" s="8">
        <f>+A164+1</f>
        <v>2</v>
      </c>
      <c r="B165" s="328" t="s">
        <v>331</v>
      </c>
      <c r="C165" s="135" t="s">
        <v>808</v>
      </c>
      <c r="D165" s="8"/>
      <c r="E165" s="8" t="s">
        <v>128</v>
      </c>
      <c r="F165" s="27" t="s">
        <v>52</v>
      </c>
      <c r="G165" s="445">
        <f t="shared" si="157"/>
        <v>774.67</v>
      </c>
      <c r="H165" s="445">
        <v>737.67</v>
      </c>
      <c r="I165" s="445">
        <v>37</v>
      </c>
      <c r="J165" s="451">
        <v>0</v>
      </c>
      <c r="K165" s="483">
        <f t="shared" ref="K165:K178" si="159">+G165-Q165</f>
        <v>0</v>
      </c>
      <c r="L165" s="451"/>
      <c r="M165" s="451"/>
      <c r="N165" s="483"/>
      <c r="O165" s="451"/>
      <c r="P165" s="451"/>
      <c r="Q165" s="466">
        <v>774.67</v>
      </c>
      <c r="R165" s="451">
        <v>737.67</v>
      </c>
      <c r="S165" s="451">
        <v>37</v>
      </c>
      <c r="T165" s="451"/>
      <c r="U165" s="451">
        <f t="shared" ref="U165:U173" si="160">+V165+W165</f>
        <v>774.67</v>
      </c>
      <c r="V165" s="451">
        <f t="shared" ref="V165:W177" si="161">+Y165+AB165+AE165</f>
        <v>737.67</v>
      </c>
      <c r="W165" s="451">
        <f t="shared" si="161"/>
        <v>37</v>
      </c>
      <c r="X165" s="445">
        <f t="shared" si="158"/>
        <v>774.67</v>
      </c>
      <c r="Y165" s="445">
        <v>737.67</v>
      </c>
      <c r="Z165" s="445">
        <v>37</v>
      </c>
      <c r="AA165" s="445"/>
      <c r="AB165" s="481"/>
      <c r="AC165" s="481"/>
      <c r="AD165" s="445"/>
      <c r="AE165" s="481"/>
      <c r="AF165" s="481"/>
      <c r="AG165" s="445"/>
      <c r="AH165" s="481"/>
      <c r="AI165" s="481"/>
      <c r="AJ165" s="445"/>
      <c r="AK165" s="451"/>
      <c r="AL165" s="15"/>
      <c r="AM165" s="506">
        <f>+AM164-AG163</f>
        <v>0</v>
      </c>
      <c r="AN165" s="506">
        <f t="shared" ref="AN165:AO165" si="162">+AN164-AH163</f>
        <v>0</v>
      </c>
      <c r="AO165" s="506">
        <f t="shared" si="162"/>
        <v>0</v>
      </c>
    </row>
    <row r="166" spans="1:41" ht="75" hidden="1">
      <c r="A166" s="8">
        <f t="shared" ref="A166:A180" si="163">+A165+1</f>
        <v>3</v>
      </c>
      <c r="B166" s="328" t="s">
        <v>333</v>
      </c>
      <c r="C166" s="8" t="s">
        <v>334</v>
      </c>
      <c r="D166" s="8"/>
      <c r="E166" s="8" t="s">
        <v>128</v>
      </c>
      <c r="F166" s="27" t="s">
        <v>53</v>
      </c>
      <c r="G166" s="445">
        <f t="shared" si="157"/>
        <v>876.75</v>
      </c>
      <c r="H166" s="445">
        <v>835</v>
      </c>
      <c r="I166" s="445">
        <v>41.75</v>
      </c>
      <c r="J166" s="451">
        <v>0</v>
      </c>
      <c r="K166" s="483">
        <f>+L166+M166</f>
        <v>190.25</v>
      </c>
      <c r="L166" s="451">
        <f>+H166-R166</f>
        <v>185</v>
      </c>
      <c r="M166" s="451">
        <f>+I166-S166</f>
        <v>5.25</v>
      </c>
      <c r="N166" s="483"/>
      <c r="O166" s="451"/>
      <c r="P166" s="451"/>
      <c r="Q166" s="466">
        <v>686.5</v>
      </c>
      <c r="R166" s="451">
        <v>650</v>
      </c>
      <c r="S166" s="451">
        <v>36.5</v>
      </c>
      <c r="T166" s="451"/>
      <c r="U166" s="451">
        <f t="shared" si="160"/>
        <v>686.5</v>
      </c>
      <c r="V166" s="451">
        <f t="shared" si="161"/>
        <v>650</v>
      </c>
      <c r="W166" s="451">
        <f t="shared" si="161"/>
        <v>36.5</v>
      </c>
      <c r="X166" s="445">
        <f t="shared" si="158"/>
        <v>0</v>
      </c>
      <c r="Y166" s="451"/>
      <c r="Z166" s="451"/>
      <c r="AA166" s="451">
        <f>+AB166+AC166</f>
        <v>686.5</v>
      </c>
      <c r="AB166" s="483">
        <v>650</v>
      </c>
      <c r="AC166" s="483">
        <v>36.5</v>
      </c>
      <c r="AD166" s="451"/>
      <c r="AE166" s="483"/>
      <c r="AF166" s="483"/>
      <c r="AG166" s="451"/>
      <c r="AH166" s="483"/>
      <c r="AI166" s="483"/>
      <c r="AJ166" s="451"/>
      <c r="AK166" s="451"/>
      <c r="AL166" s="15"/>
    </row>
    <row r="167" spans="1:41" ht="75" hidden="1">
      <c r="A167" s="8">
        <f t="shared" si="163"/>
        <v>4</v>
      </c>
      <c r="B167" s="328" t="s">
        <v>335</v>
      </c>
      <c r="C167" s="8" t="s">
        <v>336</v>
      </c>
      <c r="D167" s="8"/>
      <c r="E167" s="8" t="s">
        <v>337</v>
      </c>
      <c r="F167" s="27" t="s">
        <v>53</v>
      </c>
      <c r="G167" s="445">
        <f t="shared" si="157"/>
        <v>315</v>
      </c>
      <c r="H167" s="445">
        <v>300</v>
      </c>
      <c r="I167" s="445">
        <v>15</v>
      </c>
      <c r="J167" s="451">
        <v>0</v>
      </c>
      <c r="K167" s="483"/>
      <c r="L167" s="451"/>
      <c r="M167" s="451"/>
      <c r="N167" s="483">
        <f>+O167+P167</f>
        <v>105.35</v>
      </c>
      <c r="O167" s="451">
        <f>+R167-H167</f>
        <v>99.56</v>
      </c>
      <c r="P167" s="451">
        <f>+S167-I167</f>
        <v>5.7899999999999991</v>
      </c>
      <c r="Q167" s="466">
        <v>420.35</v>
      </c>
      <c r="R167" s="451">
        <v>399.56</v>
      </c>
      <c r="S167" s="451">
        <v>20.79</v>
      </c>
      <c r="T167" s="451"/>
      <c r="U167" s="451">
        <f t="shared" si="160"/>
        <v>420.35</v>
      </c>
      <c r="V167" s="451">
        <f t="shared" si="161"/>
        <v>399.56</v>
      </c>
      <c r="W167" s="451">
        <f t="shared" si="161"/>
        <v>20.79</v>
      </c>
      <c r="X167" s="445">
        <f t="shared" si="158"/>
        <v>0</v>
      </c>
      <c r="Y167" s="451"/>
      <c r="Z167" s="451"/>
      <c r="AA167" s="451">
        <f t="shared" ref="AA167:AA169" si="164">+AB167+AC167</f>
        <v>420.35</v>
      </c>
      <c r="AB167" s="483">
        <v>399.56</v>
      </c>
      <c r="AC167" s="483">
        <v>20.79</v>
      </c>
      <c r="AD167" s="451"/>
      <c r="AE167" s="483"/>
      <c r="AF167" s="483"/>
      <c r="AG167" s="451"/>
      <c r="AH167" s="483"/>
      <c r="AI167" s="483"/>
      <c r="AJ167" s="451"/>
      <c r="AK167" s="451"/>
      <c r="AL167" s="15"/>
    </row>
    <row r="168" spans="1:41" ht="75" hidden="1">
      <c r="A168" s="8">
        <f t="shared" si="163"/>
        <v>5</v>
      </c>
      <c r="B168" s="328" t="s">
        <v>338</v>
      </c>
      <c r="C168" s="8" t="s">
        <v>339</v>
      </c>
      <c r="D168" s="8"/>
      <c r="E168" s="8" t="s">
        <v>104</v>
      </c>
      <c r="F168" s="27" t="s">
        <v>53</v>
      </c>
      <c r="G168" s="445">
        <f t="shared" si="157"/>
        <v>735</v>
      </c>
      <c r="H168" s="445">
        <v>700</v>
      </c>
      <c r="I168" s="445">
        <v>35</v>
      </c>
      <c r="J168" s="451">
        <v>0</v>
      </c>
      <c r="K168" s="483">
        <f>+L168+M168</f>
        <v>71.5</v>
      </c>
      <c r="L168" s="451">
        <f t="shared" ref="L168:M171" si="165">+H168-R168</f>
        <v>70</v>
      </c>
      <c r="M168" s="451">
        <f t="shared" si="165"/>
        <v>1.5</v>
      </c>
      <c r="N168" s="483"/>
      <c r="O168" s="451"/>
      <c r="P168" s="451"/>
      <c r="Q168" s="466">
        <v>663.5</v>
      </c>
      <c r="R168" s="451">
        <v>630</v>
      </c>
      <c r="S168" s="451">
        <v>33.5</v>
      </c>
      <c r="T168" s="451"/>
      <c r="U168" s="451">
        <f t="shared" si="160"/>
        <v>663.5</v>
      </c>
      <c r="V168" s="451">
        <f t="shared" si="161"/>
        <v>630</v>
      </c>
      <c r="W168" s="451">
        <f t="shared" si="161"/>
        <v>33.5</v>
      </c>
      <c r="X168" s="445">
        <f t="shared" si="158"/>
        <v>0</v>
      </c>
      <c r="Y168" s="451"/>
      <c r="Z168" s="451"/>
      <c r="AA168" s="451">
        <f t="shared" si="164"/>
        <v>663.5</v>
      </c>
      <c r="AB168" s="483">
        <v>630</v>
      </c>
      <c r="AC168" s="483">
        <v>33.5</v>
      </c>
      <c r="AD168" s="451"/>
      <c r="AE168" s="483"/>
      <c r="AF168" s="483"/>
      <c r="AG168" s="451"/>
      <c r="AH168" s="483"/>
      <c r="AI168" s="483"/>
      <c r="AJ168" s="451"/>
      <c r="AK168" s="451"/>
      <c r="AL168" s="15"/>
    </row>
    <row r="169" spans="1:41" ht="75" hidden="1">
      <c r="A169" s="8">
        <f t="shared" si="163"/>
        <v>6</v>
      </c>
      <c r="B169" s="328" t="s">
        <v>340</v>
      </c>
      <c r="C169" s="8" t="s">
        <v>330</v>
      </c>
      <c r="D169" s="8"/>
      <c r="E169" s="8" t="s">
        <v>341</v>
      </c>
      <c r="F169" s="27" t="s">
        <v>53</v>
      </c>
      <c r="G169" s="445">
        <f t="shared" si="157"/>
        <v>840</v>
      </c>
      <c r="H169" s="445">
        <v>800</v>
      </c>
      <c r="I169" s="445">
        <v>40</v>
      </c>
      <c r="J169" s="451">
        <v>0</v>
      </c>
      <c r="K169" s="483">
        <f>+L169+M169</f>
        <v>155</v>
      </c>
      <c r="L169" s="451">
        <f t="shared" si="165"/>
        <v>150</v>
      </c>
      <c r="M169" s="451">
        <f t="shared" si="165"/>
        <v>5</v>
      </c>
      <c r="N169" s="483"/>
      <c r="O169" s="451"/>
      <c r="P169" s="451"/>
      <c r="Q169" s="466">
        <v>685</v>
      </c>
      <c r="R169" s="451">
        <v>650</v>
      </c>
      <c r="S169" s="451">
        <v>35</v>
      </c>
      <c r="T169" s="451"/>
      <c r="U169" s="451">
        <f t="shared" si="160"/>
        <v>685</v>
      </c>
      <c r="V169" s="451">
        <f t="shared" si="161"/>
        <v>650</v>
      </c>
      <c r="W169" s="451">
        <f t="shared" si="161"/>
        <v>35</v>
      </c>
      <c r="X169" s="445">
        <f t="shared" si="158"/>
        <v>0</v>
      </c>
      <c r="Y169" s="451"/>
      <c r="Z169" s="451"/>
      <c r="AA169" s="451">
        <f t="shared" si="164"/>
        <v>685</v>
      </c>
      <c r="AB169" s="483">
        <v>650</v>
      </c>
      <c r="AC169" s="483">
        <v>35</v>
      </c>
      <c r="AD169" s="451"/>
      <c r="AE169" s="483"/>
      <c r="AF169" s="483"/>
      <c r="AG169" s="451"/>
      <c r="AH169" s="483"/>
      <c r="AI169" s="483"/>
      <c r="AJ169" s="451"/>
      <c r="AK169" s="451"/>
      <c r="AL169" s="15"/>
    </row>
    <row r="170" spans="1:41" ht="75" hidden="1">
      <c r="A170" s="8">
        <f t="shared" si="163"/>
        <v>7</v>
      </c>
      <c r="B170" s="328" t="s">
        <v>342</v>
      </c>
      <c r="C170" s="8" t="s">
        <v>343</v>
      </c>
      <c r="D170" s="8"/>
      <c r="E170" s="8" t="s">
        <v>159</v>
      </c>
      <c r="F170" s="8" t="s">
        <v>54</v>
      </c>
      <c r="G170" s="445">
        <f t="shared" si="157"/>
        <v>1050</v>
      </c>
      <c r="H170" s="445">
        <v>1000</v>
      </c>
      <c r="I170" s="445">
        <v>50</v>
      </c>
      <c r="J170" s="451">
        <v>0</v>
      </c>
      <c r="K170" s="483">
        <f>+L170+M170</f>
        <v>203.6</v>
      </c>
      <c r="L170" s="451">
        <f t="shared" si="165"/>
        <v>200</v>
      </c>
      <c r="M170" s="451">
        <f t="shared" si="165"/>
        <v>3.6000000000000014</v>
      </c>
      <c r="N170" s="483"/>
      <c r="O170" s="451"/>
      <c r="P170" s="451"/>
      <c r="Q170" s="466">
        <v>846.4</v>
      </c>
      <c r="R170" s="451">
        <v>800</v>
      </c>
      <c r="S170" s="451">
        <v>46.4</v>
      </c>
      <c r="T170" s="451"/>
      <c r="U170" s="451">
        <f t="shared" si="160"/>
        <v>846.4</v>
      </c>
      <c r="V170" s="451">
        <f t="shared" si="161"/>
        <v>800</v>
      </c>
      <c r="W170" s="451">
        <f t="shared" si="161"/>
        <v>46.4</v>
      </c>
      <c r="X170" s="445">
        <f t="shared" si="158"/>
        <v>0</v>
      </c>
      <c r="Y170" s="451"/>
      <c r="Z170" s="451"/>
      <c r="AA170" s="451"/>
      <c r="AB170" s="483"/>
      <c r="AC170" s="483"/>
      <c r="AD170" s="451">
        <f>+AE170+AF170</f>
        <v>846.4</v>
      </c>
      <c r="AE170" s="483">
        <v>800</v>
      </c>
      <c r="AF170" s="483">
        <v>46.4</v>
      </c>
      <c r="AG170" s="451"/>
      <c r="AH170" s="483"/>
      <c r="AI170" s="483"/>
      <c r="AJ170" s="451"/>
      <c r="AK170" s="451"/>
      <c r="AL170" s="15"/>
    </row>
    <row r="171" spans="1:41" ht="75" hidden="1">
      <c r="A171" s="8">
        <f t="shared" si="163"/>
        <v>8</v>
      </c>
      <c r="B171" s="328" t="s">
        <v>346</v>
      </c>
      <c r="C171" s="8" t="s">
        <v>347</v>
      </c>
      <c r="D171" s="8"/>
      <c r="E171" s="8" t="s">
        <v>348</v>
      </c>
      <c r="F171" s="8" t="s">
        <v>54</v>
      </c>
      <c r="G171" s="445">
        <f t="shared" si="157"/>
        <v>1050</v>
      </c>
      <c r="H171" s="445">
        <v>1000</v>
      </c>
      <c r="I171" s="445">
        <v>50</v>
      </c>
      <c r="J171" s="451">
        <v>0</v>
      </c>
      <c r="K171" s="483">
        <f>+L171+M171</f>
        <v>592.80000000000007</v>
      </c>
      <c r="L171" s="451">
        <f t="shared" si="165"/>
        <v>568.20000000000005</v>
      </c>
      <c r="M171" s="451">
        <f t="shared" si="165"/>
        <v>24.6</v>
      </c>
      <c r="N171" s="483"/>
      <c r="O171" s="451"/>
      <c r="P171" s="451"/>
      <c r="Q171" s="466">
        <v>457.2</v>
      </c>
      <c r="R171" s="451">
        <v>431.8</v>
      </c>
      <c r="S171" s="451">
        <v>25.4</v>
      </c>
      <c r="T171" s="451"/>
      <c r="U171" s="451">
        <f t="shared" si="160"/>
        <v>457.2</v>
      </c>
      <c r="V171" s="451">
        <f t="shared" si="161"/>
        <v>431.8</v>
      </c>
      <c r="W171" s="451">
        <f t="shared" si="161"/>
        <v>25.4</v>
      </c>
      <c r="X171" s="445">
        <f t="shared" si="158"/>
        <v>0</v>
      </c>
      <c r="Y171" s="451"/>
      <c r="Z171" s="451"/>
      <c r="AA171" s="451"/>
      <c r="AB171" s="483"/>
      <c r="AC171" s="483"/>
      <c r="AD171" s="451">
        <f>+AE171+AF171</f>
        <v>457.2</v>
      </c>
      <c r="AE171" s="483">
        <v>431.8</v>
      </c>
      <c r="AF171" s="483">
        <v>25.4</v>
      </c>
      <c r="AG171" s="451"/>
      <c r="AH171" s="483"/>
      <c r="AI171" s="483"/>
      <c r="AJ171" s="451"/>
      <c r="AK171" s="451"/>
      <c r="AL171" s="15"/>
    </row>
    <row r="172" spans="1:41" ht="75" hidden="1">
      <c r="A172" s="8">
        <f t="shared" si="163"/>
        <v>9</v>
      </c>
      <c r="B172" s="328" t="s">
        <v>349</v>
      </c>
      <c r="C172" s="8" t="s">
        <v>350</v>
      </c>
      <c r="D172" s="8"/>
      <c r="E172" s="8" t="s">
        <v>348</v>
      </c>
      <c r="F172" s="8" t="s">
        <v>54</v>
      </c>
      <c r="G172" s="445">
        <f t="shared" si="157"/>
        <v>320.25</v>
      </c>
      <c r="H172" s="445">
        <v>305</v>
      </c>
      <c r="I172" s="445">
        <v>15.25</v>
      </c>
      <c r="J172" s="451">
        <v>0</v>
      </c>
      <c r="K172" s="483"/>
      <c r="L172" s="451"/>
      <c r="M172" s="451"/>
      <c r="N172" s="483">
        <f>+O172+P172</f>
        <v>526.15</v>
      </c>
      <c r="O172" s="451">
        <f>+R172-H172</f>
        <v>495</v>
      </c>
      <c r="P172" s="451">
        <f>+S172-I172</f>
        <v>31.15</v>
      </c>
      <c r="Q172" s="466">
        <v>846.4</v>
      </c>
      <c r="R172" s="451">
        <v>800</v>
      </c>
      <c r="S172" s="451">
        <v>46.4</v>
      </c>
      <c r="T172" s="451"/>
      <c r="U172" s="451">
        <f t="shared" si="160"/>
        <v>846.4</v>
      </c>
      <c r="V172" s="451">
        <f t="shared" si="161"/>
        <v>800</v>
      </c>
      <c r="W172" s="451">
        <f t="shared" si="161"/>
        <v>46.4</v>
      </c>
      <c r="X172" s="445">
        <f t="shared" si="158"/>
        <v>0</v>
      </c>
      <c r="Y172" s="451"/>
      <c r="Z172" s="451"/>
      <c r="AA172" s="451"/>
      <c r="AB172" s="483"/>
      <c r="AC172" s="483"/>
      <c r="AD172" s="451">
        <f>+AE172+AF172</f>
        <v>846.4</v>
      </c>
      <c r="AE172" s="483">
        <v>800</v>
      </c>
      <c r="AF172" s="483">
        <v>46.4</v>
      </c>
      <c r="AG172" s="451"/>
      <c r="AH172" s="483"/>
      <c r="AI172" s="483"/>
      <c r="AJ172" s="451"/>
      <c r="AK172" s="451"/>
      <c r="AL172" s="15"/>
    </row>
    <row r="173" spans="1:41" ht="75" hidden="1">
      <c r="A173" s="8">
        <f t="shared" si="163"/>
        <v>10</v>
      </c>
      <c r="B173" s="328" t="s">
        <v>357</v>
      </c>
      <c r="C173" s="8" t="s">
        <v>332</v>
      </c>
      <c r="D173" s="8"/>
      <c r="E173" s="8" t="s">
        <v>94</v>
      </c>
      <c r="F173" s="8" t="s">
        <v>54</v>
      </c>
      <c r="G173" s="445">
        <f t="shared" si="157"/>
        <v>420.01</v>
      </c>
      <c r="H173" s="445">
        <v>400</v>
      </c>
      <c r="I173" s="445">
        <v>20.010000000000002</v>
      </c>
      <c r="J173" s="451"/>
      <c r="K173" s="483">
        <f>+L173+M173</f>
        <v>81.41</v>
      </c>
      <c r="L173" s="451">
        <f>+H173-R173</f>
        <v>80</v>
      </c>
      <c r="M173" s="451">
        <f>+I173-S173</f>
        <v>1.4100000000000001</v>
      </c>
      <c r="N173" s="483"/>
      <c r="O173" s="451"/>
      <c r="P173" s="451"/>
      <c r="Q173" s="466">
        <v>338.6</v>
      </c>
      <c r="R173" s="451">
        <v>320</v>
      </c>
      <c r="S173" s="451">
        <v>18.600000000000001</v>
      </c>
      <c r="T173" s="451"/>
      <c r="U173" s="451">
        <f t="shared" si="160"/>
        <v>338.6</v>
      </c>
      <c r="V173" s="451">
        <f t="shared" si="161"/>
        <v>320</v>
      </c>
      <c r="W173" s="451">
        <f t="shared" si="161"/>
        <v>18.600000000000001</v>
      </c>
      <c r="X173" s="445">
        <f t="shared" si="158"/>
        <v>0</v>
      </c>
      <c r="Y173" s="451"/>
      <c r="Z173" s="451"/>
      <c r="AA173" s="451"/>
      <c r="AB173" s="483"/>
      <c r="AC173" s="483"/>
      <c r="AD173" s="451">
        <f>+AE173+AF173</f>
        <v>338.6</v>
      </c>
      <c r="AE173" s="483">
        <v>320</v>
      </c>
      <c r="AF173" s="483">
        <v>18.600000000000001</v>
      </c>
      <c r="AG173" s="451"/>
      <c r="AH173" s="483"/>
      <c r="AI173" s="483"/>
      <c r="AJ173" s="451"/>
      <c r="AK173" s="451"/>
      <c r="AL173" s="15"/>
    </row>
    <row r="174" spans="1:41" ht="75" hidden="1">
      <c r="A174" s="8">
        <f t="shared" si="163"/>
        <v>11</v>
      </c>
      <c r="B174" s="328" t="s">
        <v>1124</v>
      </c>
      <c r="C174" s="8" t="s">
        <v>352</v>
      </c>
      <c r="D174" s="8"/>
      <c r="E174" s="8" t="s">
        <v>94</v>
      </c>
      <c r="F174" s="8" t="s">
        <v>55</v>
      </c>
      <c r="G174" s="445">
        <f>H174+I174</f>
        <v>420</v>
      </c>
      <c r="H174" s="445">
        <v>400</v>
      </c>
      <c r="I174" s="445">
        <v>20</v>
      </c>
      <c r="J174" s="451">
        <v>0</v>
      </c>
      <c r="K174" s="483">
        <f t="shared" si="159"/>
        <v>0</v>
      </c>
      <c r="L174" s="451"/>
      <c r="M174" s="451"/>
      <c r="N174" s="483"/>
      <c r="O174" s="451"/>
      <c r="P174" s="451"/>
      <c r="Q174" s="451">
        <f>+R174+S174</f>
        <v>420</v>
      </c>
      <c r="R174" s="483">
        <v>400</v>
      </c>
      <c r="S174" s="483">
        <v>20</v>
      </c>
      <c r="T174" s="451"/>
      <c r="U174" s="451">
        <f>+V174+W174</f>
        <v>0</v>
      </c>
      <c r="V174" s="451">
        <f t="shared" si="161"/>
        <v>0</v>
      </c>
      <c r="W174" s="451">
        <f t="shared" si="161"/>
        <v>0</v>
      </c>
      <c r="X174" s="445">
        <f>Y174+Z174</f>
        <v>0</v>
      </c>
      <c r="Y174" s="451"/>
      <c r="Z174" s="451"/>
      <c r="AA174" s="451"/>
      <c r="AB174" s="483"/>
      <c r="AC174" s="483"/>
      <c r="AD174" s="451"/>
      <c r="AE174" s="483"/>
      <c r="AF174" s="483"/>
      <c r="AG174" s="451">
        <f>+AH174+AI174</f>
        <v>420</v>
      </c>
      <c r="AH174" s="483">
        <v>400</v>
      </c>
      <c r="AI174" s="483">
        <v>20</v>
      </c>
      <c r="AJ174" s="451"/>
      <c r="AK174" s="451"/>
      <c r="AL174" s="15"/>
    </row>
    <row r="175" spans="1:41" ht="75" hidden="1">
      <c r="A175" s="8">
        <f t="shared" si="163"/>
        <v>12</v>
      </c>
      <c r="B175" s="328" t="s">
        <v>353</v>
      </c>
      <c r="C175" s="8" t="s">
        <v>354</v>
      </c>
      <c r="D175" s="8"/>
      <c r="E175" s="8" t="s">
        <v>128</v>
      </c>
      <c r="F175" s="8" t="s">
        <v>55</v>
      </c>
      <c r="G175" s="445">
        <f>H175+I175</f>
        <v>454.65</v>
      </c>
      <c r="H175" s="445">
        <v>433</v>
      </c>
      <c r="I175" s="445">
        <v>21.65</v>
      </c>
      <c r="J175" s="451">
        <v>0</v>
      </c>
      <c r="K175" s="483"/>
      <c r="L175" s="451"/>
      <c r="M175" s="451"/>
      <c r="N175" s="483">
        <f>+O175+P175</f>
        <v>5.0000000000000711E-2</v>
      </c>
      <c r="O175" s="451">
        <f>+R175-H175</f>
        <v>0</v>
      </c>
      <c r="P175" s="451">
        <f>+S175-I175</f>
        <v>5.0000000000000711E-2</v>
      </c>
      <c r="Q175" s="451">
        <f t="shared" ref="Q175:Q177" si="166">+R175+S175</f>
        <v>454.7</v>
      </c>
      <c r="R175" s="483">
        <v>433</v>
      </c>
      <c r="S175" s="483">
        <v>21.7</v>
      </c>
      <c r="T175" s="451"/>
      <c r="U175" s="451">
        <f>+V175+W175</f>
        <v>0</v>
      </c>
      <c r="V175" s="451">
        <f t="shared" si="161"/>
        <v>0</v>
      </c>
      <c r="W175" s="451">
        <f t="shared" si="161"/>
        <v>0</v>
      </c>
      <c r="X175" s="445">
        <f>Y175+Z175</f>
        <v>0</v>
      </c>
      <c r="Y175" s="451"/>
      <c r="Z175" s="451"/>
      <c r="AA175" s="451"/>
      <c r="AB175" s="483"/>
      <c r="AC175" s="483"/>
      <c r="AD175" s="451"/>
      <c r="AE175" s="483"/>
      <c r="AF175" s="483"/>
      <c r="AG175" s="451">
        <f t="shared" ref="AG175:AG177" si="167">+AH175+AI175</f>
        <v>454.7</v>
      </c>
      <c r="AH175" s="483">
        <v>433</v>
      </c>
      <c r="AI175" s="483">
        <v>21.7</v>
      </c>
      <c r="AJ175" s="451"/>
      <c r="AK175" s="451"/>
      <c r="AL175" s="15"/>
    </row>
    <row r="176" spans="1:41" ht="75" hidden="1">
      <c r="A176" s="8">
        <f t="shared" si="163"/>
        <v>13</v>
      </c>
      <c r="B176" s="328" t="s">
        <v>355</v>
      </c>
      <c r="C176" s="8" t="s">
        <v>334</v>
      </c>
      <c r="D176" s="8"/>
      <c r="E176" s="8" t="s">
        <v>128</v>
      </c>
      <c r="F176" s="8" t="s">
        <v>55</v>
      </c>
      <c r="G176" s="445">
        <f>H176+I176</f>
        <v>1050</v>
      </c>
      <c r="H176" s="445">
        <v>1000</v>
      </c>
      <c r="I176" s="445">
        <v>50</v>
      </c>
      <c r="J176" s="451"/>
      <c r="K176" s="483">
        <f>+L176+M176</f>
        <v>500</v>
      </c>
      <c r="L176" s="451">
        <f>+H176-R176</f>
        <v>467</v>
      </c>
      <c r="M176" s="451">
        <f>+I176-S176</f>
        <v>33</v>
      </c>
      <c r="N176" s="483"/>
      <c r="O176" s="451"/>
      <c r="P176" s="451"/>
      <c r="Q176" s="451">
        <f t="shared" si="166"/>
        <v>550</v>
      </c>
      <c r="R176" s="483">
        <v>533</v>
      </c>
      <c r="S176" s="483">
        <v>17</v>
      </c>
      <c r="T176" s="451"/>
      <c r="U176" s="451">
        <f>+V176+W176</f>
        <v>0</v>
      </c>
      <c r="V176" s="451">
        <f t="shared" si="161"/>
        <v>0</v>
      </c>
      <c r="W176" s="451">
        <f t="shared" si="161"/>
        <v>0</v>
      </c>
      <c r="X176" s="445">
        <f>Y176+Z176</f>
        <v>0</v>
      </c>
      <c r="Y176" s="451"/>
      <c r="Z176" s="451"/>
      <c r="AA176" s="451"/>
      <c r="AB176" s="483"/>
      <c r="AC176" s="483"/>
      <c r="AD176" s="451"/>
      <c r="AE176" s="483"/>
      <c r="AF176" s="483"/>
      <c r="AG176" s="451">
        <f t="shared" si="167"/>
        <v>550</v>
      </c>
      <c r="AH176" s="483">
        <v>533</v>
      </c>
      <c r="AI176" s="483">
        <v>17</v>
      </c>
      <c r="AJ176" s="451"/>
      <c r="AK176" s="451"/>
      <c r="AL176" s="15"/>
    </row>
    <row r="177" spans="1:41" ht="75" hidden="1">
      <c r="A177" s="8">
        <f t="shared" si="163"/>
        <v>14</v>
      </c>
      <c r="B177" s="328" t="s">
        <v>356</v>
      </c>
      <c r="C177" s="8" t="s">
        <v>330</v>
      </c>
      <c r="D177" s="8"/>
      <c r="E177" s="8" t="s">
        <v>94</v>
      </c>
      <c r="F177" s="8" t="s">
        <v>55</v>
      </c>
      <c r="G177" s="445">
        <f>H177+I177</f>
        <v>420</v>
      </c>
      <c r="H177" s="445">
        <v>400</v>
      </c>
      <c r="I177" s="445">
        <v>20</v>
      </c>
      <c r="J177" s="451"/>
      <c r="K177" s="483">
        <f t="shared" si="159"/>
        <v>0</v>
      </c>
      <c r="L177" s="451"/>
      <c r="M177" s="451"/>
      <c r="N177" s="483"/>
      <c r="O177" s="451"/>
      <c r="P177" s="451"/>
      <c r="Q177" s="451">
        <f t="shared" si="166"/>
        <v>420</v>
      </c>
      <c r="R177" s="483">
        <v>400</v>
      </c>
      <c r="S177" s="483">
        <v>20</v>
      </c>
      <c r="T177" s="451"/>
      <c r="U177" s="451">
        <f>+V177+W177</f>
        <v>0</v>
      </c>
      <c r="V177" s="451">
        <f t="shared" si="161"/>
        <v>0</v>
      </c>
      <c r="W177" s="451">
        <f t="shared" si="161"/>
        <v>0</v>
      </c>
      <c r="X177" s="445">
        <f>Y177+Z177</f>
        <v>0</v>
      </c>
      <c r="Y177" s="451"/>
      <c r="Z177" s="451"/>
      <c r="AA177" s="451"/>
      <c r="AB177" s="483"/>
      <c r="AC177" s="483"/>
      <c r="AD177" s="451"/>
      <c r="AE177" s="483"/>
      <c r="AF177" s="483"/>
      <c r="AG177" s="451">
        <f t="shared" si="167"/>
        <v>420</v>
      </c>
      <c r="AH177" s="483">
        <v>400</v>
      </c>
      <c r="AI177" s="483">
        <v>20</v>
      </c>
      <c r="AJ177" s="451"/>
      <c r="AK177" s="451"/>
      <c r="AL177" s="15"/>
    </row>
    <row r="178" spans="1:41" ht="30" hidden="1">
      <c r="A178" s="8">
        <f t="shared" si="163"/>
        <v>15</v>
      </c>
      <c r="B178" s="328" t="s">
        <v>1150</v>
      </c>
      <c r="C178" s="8" t="s">
        <v>1151</v>
      </c>
      <c r="D178" s="8"/>
      <c r="E178" s="8"/>
      <c r="F178" s="8" t="s">
        <v>55</v>
      </c>
      <c r="G178" s="445">
        <f>H178+I178</f>
        <v>361.2</v>
      </c>
      <c r="H178" s="445">
        <v>344</v>
      </c>
      <c r="I178" s="445">
        <v>17.2</v>
      </c>
      <c r="J178" s="451"/>
      <c r="K178" s="483">
        <f t="shared" si="159"/>
        <v>0</v>
      </c>
      <c r="L178" s="451"/>
      <c r="M178" s="451"/>
      <c r="N178" s="483"/>
      <c r="O178" s="451"/>
      <c r="P178" s="451"/>
      <c r="Q178" s="451">
        <f>+R178+S178</f>
        <v>361.2</v>
      </c>
      <c r="R178" s="483">
        <v>344</v>
      </c>
      <c r="S178" s="483">
        <v>17.2</v>
      </c>
      <c r="T178" s="451"/>
      <c r="U178" s="451"/>
      <c r="V178" s="451"/>
      <c r="W178" s="451"/>
      <c r="X178" s="445"/>
      <c r="Y178" s="451"/>
      <c r="Z178" s="451"/>
      <c r="AA178" s="451"/>
      <c r="AB178" s="483"/>
      <c r="AC178" s="483"/>
      <c r="AD178" s="451"/>
      <c r="AE178" s="483"/>
      <c r="AF178" s="483"/>
      <c r="AG178" s="451">
        <f>+AH178+AI178</f>
        <v>361.2</v>
      </c>
      <c r="AH178" s="483">
        <v>344</v>
      </c>
      <c r="AI178" s="483">
        <v>17.2</v>
      </c>
      <c r="AJ178" s="451"/>
      <c r="AK178" s="451"/>
      <c r="AL178" s="15"/>
    </row>
    <row r="179" spans="1:41" ht="30" hidden="1">
      <c r="A179" s="8">
        <f t="shared" si="163"/>
        <v>16</v>
      </c>
      <c r="B179" s="328" t="s">
        <v>1152</v>
      </c>
      <c r="C179" s="8" t="s">
        <v>1153</v>
      </c>
      <c r="D179" s="8"/>
      <c r="E179" s="8"/>
      <c r="F179" s="8" t="s">
        <v>55</v>
      </c>
      <c r="G179" s="445"/>
      <c r="H179" s="445"/>
      <c r="I179" s="445"/>
      <c r="J179" s="451"/>
      <c r="K179" s="483"/>
      <c r="L179" s="451"/>
      <c r="M179" s="451"/>
      <c r="N179" s="451">
        <f>+O179+P179</f>
        <v>420</v>
      </c>
      <c r="O179" s="483">
        <v>400</v>
      </c>
      <c r="P179" s="483">
        <v>20</v>
      </c>
      <c r="Q179" s="451">
        <f>+R179+S179</f>
        <v>420</v>
      </c>
      <c r="R179" s="483">
        <v>400</v>
      </c>
      <c r="S179" s="483">
        <v>20</v>
      </c>
      <c r="T179" s="451"/>
      <c r="U179" s="451"/>
      <c r="V179" s="451"/>
      <c r="W179" s="451"/>
      <c r="X179" s="445"/>
      <c r="Y179" s="451"/>
      <c r="Z179" s="451"/>
      <c r="AA179" s="451"/>
      <c r="AB179" s="483"/>
      <c r="AC179" s="483"/>
      <c r="AD179" s="451"/>
      <c r="AE179" s="483"/>
      <c r="AF179" s="483"/>
      <c r="AG179" s="451">
        <f>+AH179+AI179</f>
        <v>420</v>
      </c>
      <c r="AH179" s="483">
        <v>400</v>
      </c>
      <c r="AI179" s="483">
        <v>20</v>
      </c>
      <c r="AJ179" s="451"/>
      <c r="AK179" s="451"/>
      <c r="AL179" s="15"/>
    </row>
    <row r="180" spans="1:41" ht="30" hidden="1">
      <c r="A180" s="8">
        <f t="shared" si="163"/>
        <v>17</v>
      </c>
      <c r="B180" s="328" t="s">
        <v>1149</v>
      </c>
      <c r="C180" s="8" t="s">
        <v>1151</v>
      </c>
      <c r="D180" s="8"/>
      <c r="E180" s="8"/>
      <c r="F180" s="8" t="s">
        <v>55</v>
      </c>
      <c r="G180" s="445"/>
      <c r="H180" s="445"/>
      <c r="I180" s="445"/>
      <c r="J180" s="451"/>
      <c r="K180" s="483"/>
      <c r="L180" s="451"/>
      <c r="M180" s="451"/>
      <c r="N180" s="451">
        <f>+O180+P180</f>
        <v>743.01</v>
      </c>
      <c r="O180" s="483">
        <f>736.1-10.46</f>
        <v>725.64</v>
      </c>
      <c r="P180" s="483">
        <v>17.37</v>
      </c>
      <c r="Q180" s="451">
        <f>+R180+S180</f>
        <v>743.01</v>
      </c>
      <c r="R180" s="483">
        <f>736.1-10.46</f>
        <v>725.64</v>
      </c>
      <c r="S180" s="483">
        <v>17.37</v>
      </c>
      <c r="T180" s="451"/>
      <c r="U180" s="451"/>
      <c r="V180" s="451"/>
      <c r="W180" s="451"/>
      <c r="X180" s="445"/>
      <c r="Y180" s="451"/>
      <c r="Z180" s="451"/>
      <c r="AA180" s="451"/>
      <c r="AB180" s="483"/>
      <c r="AC180" s="483"/>
      <c r="AD180" s="451"/>
      <c r="AE180" s="483"/>
      <c r="AF180" s="483"/>
      <c r="AG180" s="451">
        <f>+AH180+AI180</f>
        <v>743.01</v>
      </c>
      <c r="AH180" s="483">
        <f>736.1-10.46</f>
        <v>725.64</v>
      </c>
      <c r="AI180" s="483">
        <v>17.37</v>
      </c>
      <c r="AJ180" s="451"/>
      <c r="AK180" s="451"/>
      <c r="AL180" s="15"/>
    </row>
    <row r="181" spans="1:41" s="14" customFormat="1" ht="23.25" customHeight="1">
      <c r="A181" s="4" t="s">
        <v>998</v>
      </c>
      <c r="B181" s="507" t="s">
        <v>359</v>
      </c>
      <c r="C181" s="418"/>
      <c r="D181" s="418"/>
      <c r="E181" s="417">
        <v>0</v>
      </c>
      <c r="F181" s="417"/>
      <c r="G181" s="446">
        <f>SUM(G182:G197)</f>
        <v>11098.64</v>
      </c>
      <c r="H181" s="446">
        <f t="shared" ref="H181:T181" si="168">SUM(H182:H197)</f>
        <v>10569.14</v>
      </c>
      <c r="I181" s="446">
        <f t="shared" si="168"/>
        <v>529.5</v>
      </c>
      <c r="J181" s="446">
        <f t="shared" si="168"/>
        <v>0</v>
      </c>
      <c r="K181" s="446">
        <f t="shared" si="168"/>
        <v>1090.73</v>
      </c>
      <c r="L181" s="446">
        <f t="shared" si="168"/>
        <v>1055.3399999999999</v>
      </c>
      <c r="M181" s="446">
        <f t="shared" si="168"/>
        <v>35.390000000000008</v>
      </c>
      <c r="N181" s="446">
        <f t="shared" si="168"/>
        <v>1090.73</v>
      </c>
      <c r="O181" s="446">
        <f t="shared" si="168"/>
        <v>1055.3399999999999</v>
      </c>
      <c r="P181" s="446">
        <f t="shared" si="168"/>
        <v>35.390000000000008</v>
      </c>
      <c r="Q181" s="446">
        <f t="shared" si="168"/>
        <v>11098.64</v>
      </c>
      <c r="R181" s="446">
        <f t="shared" si="168"/>
        <v>10569.14</v>
      </c>
      <c r="S181" s="446">
        <f t="shared" si="168"/>
        <v>529.5</v>
      </c>
      <c r="T181" s="446">
        <f t="shared" si="168"/>
        <v>0</v>
      </c>
      <c r="U181" s="446">
        <f t="shared" ref="U181:AK181" si="169">SUM(U182:U195)</f>
        <v>7409.4199999999992</v>
      </c>
      <c r="V181" s="446">
        <f t="shared" si="169"/>
        <v>7026.91</v>
      </c>
      <c r="W181" s="446">
        <f t="shared" si="169"/>
        <v>382.51</v>
      </c>
      <c r="X181" s="446">
        <f t="shared" si="169"/>
        <v>1997.25</v>
      </c>
      <c r="Y181" s="446">
        <f t="shared" si="169"/>
        <v>1902.25</v>
      </c>
      <c r="Z181" s="446">
        <f t="shared" si="169"/>
        <v>95</v>
      </c>
      <c r="AA181" s="446">
        <f t="shared" si="169"/>
        <v>2687.87</v>
      </c>
      <c r="AB181" s="446">
        <f t="shared" si="169"/>
        <v>2550.16</v>
      </c>
      <c r="AC181" s="446">
        <f t="shared" si="169"/>
        <v>137.70999999999998</v>
      </c>
      <c r="AD181" s="446">
        <f t="shared" si="169"/>
        <v>2724.3</v>
      </c>
      <c r="AE181" s="446">
        <f t="shared" si="169"/>
        <v>2574.5</v>
      </c>
      <c r="AF181" s="446">
        <f t="shared" si="169"/>
        <v>149.80000000000001</v>
      </c>
      <c r="AG181" s="446">
        <f>SUM(AG182:AG197)</f>
        <v>3689.2200000000003</v>
      </c>
      <c r="AH181" s="446">
        <f t="shared" ref="AH181:AI181" si="170">SUM(AH182:AH197)</f>
        <v>3542.2299999999996</v>
      </c>
      <c r="AI181" s="446">
        <f t="shared" si="170"/>
        <v>146.99</v>
      </c>
      <c r="AJ181" s="446"/>
      <c r="AK181" s="446">
        <f t="shared" si="169"/>
        <v>0</v>
      </c>
      <c r="AL181" s="16"/>
      <c r="AM181" s="368">
        <f>+'NĂM 2022'!K62+'NĂM 2023'!N74+'NĂM 2024'!J69+'NĂM 2025'!J63</f>
        <v>11098.64</v>
      </c>
      <c r="AN181" s="368">
        <f>+'NĂM 2022'!L62+'NĂM 2023'!O74+'NĂM 2024'!K69+'NĂM 2025'!K63</f>
        <v>10569.14</v>
      </c>
      <c r="AO181" s="368">
        <f>+'NĂM 2022'!M62+'NĂM 2023'!P74+'NĂM 2024'!L69+'NĂM 2025'!L63</f>
        <v>529.5</v>
      </c>
    </row>
    <row r="182" spans="1:41" ht="75" hidden="1">
      <c r="A182" s="8">
        <v>1</v>
      </c>
      <c r="B182" s="328" t="s">
        <v>360</v>
      </c>
      <c r="C182" s="8" t="s">
        <v>361</v>
      </c>
      <c r="D182" s="8"/>
      <c r="E182" s="8" t="s">
        <v>326</v>
      </c>
      <c r="F182" s="27" t="s">
        <v>52</v>
      </c>
      <c r="G182" s="445">
        <f t="shared" si="157"/>
        <v>737.25</v>
      </c>
      <c r="H182" s="445">
        <v>702.25</v>
      </c>
      <c r="I182" s="445">
        <v>35</v>
      </c>
      <c r="J182" s="451">
        <v>0</v>
      </c>
      <c r="K182" s="483">
        <f>+G182-Q182</f>
        <v>0</v>
      </c>
      <c r="L182" s="451"/>
      <c r="M182" s="451"/>
      <c r="N182" s="483"/>
      <c r="O182" s="451"/>
      <c r="P182" s="451"/>
      <c r="Q182" s="466">
        <v>737.25</v>
      </c>
      <c r="R182" s="451">
        <v>702.25</v>
      </c>
      <c r="S182" s="451">
        <v>35</v>
      </c>
      <c r="T182" s="451"/>
      <c r="U182" s="451">
        <f>+V182+W182</f>
        <v>737.25</v>
      </c>
      <c r="V182" s="451">
        <f>+Y182+AB182+AE182</f>
        <v>702.25</v>
      </c>
      <c r="W182" s="451">
        <f>+Z182+AC182+AF182</f>
        <v>35</v>
      </c>
      <c r="X182" s="445">
        <f t="shared" si="158"/>
        <v>737.25</v>
      </c>
      <c r="Y182" s="445">
        <v>702.25</v>
      </c>
      <c r="Z182" s="445">
        <v>35</v>
      </c>
      <c r="AA182" s="445"/>
      <c r="AB182" s="481"/>
      <c r="AC182" s="481"/>
      <c r="AD182" s="445"/>
      <c r="AE182" s="481"/>
      <c r="AF182" s="481"/>
      <c r="AG182" s="445"/>
      <c r="AH182" s="481"/>
      <c r="AI182" s="481"/>
      <c r="AJ182" s="445"/>
      <c r="AK182" s="451"/>
      <c r="AL182" s="15"/>
      <c r="AM182" s="506">
        <f>+G181-U181</f>
        <v>3689.2200000000003</v>
      </c>
      <c r="AN182" s="506">
        <f>+H181-V181</f>
        <v>3542.2299999999996</v>
      </c>
      <c r="AO182" s="506">
        <f>+I181-W181</f>
        <v>146.99</v>
      </c>
    </row>
    <row r="183" spans="1:41" ht="75" hidden="1">
      <c r="A183" s="8">
        <f>+A182+1</f>
        <v>2</v>
      </c>
      <c r="B183" s="328" t="s">
        <v>362</v>
      </c>
      <c r="C183" s="8" t="s">
        <v>363</v>
      </c>
      <c r="D183" s="8"/>
      <c r="E183" s="8" t="s">
        <v>94</v>
      </c>
      <c r="F183" s="27" t="s">
        <v>52</v>
      </c>
      <c r="G183" s="445">
        <f t="shared" si="157"/>
        <v>420</v>
      </c>
      <c r="H183" s="445">
        <v>400</v>
      </c>
      <c r="I183" s="445">
        <v>20</v>
      </c>
      <c r="J183" s="451">
        <v>0</v>
      </c>
      <c r="K183" s="483">
        <f t="shared" ref="K183:K195" si="171">+G183-Q183</f>
        <v>0</v>
      </c>
      <c r="L183" s="451"/>
      <c r="M183" s="451"/>
      <c r="N183" s="483"/>
      <c r="O183" s="451"/>
      <c r="P183" s="451"/>
      <c r="Q183" s="466">
        <v>420</v>
      </c>
      <c r="R183" s="451">
        <v>400</v>
      </c>
      <c r="S183" s="451">
        <v>20</v>
      </c>
      <c r="T183" s="451"/>
      <c r="U183" s="451">
        <f t="shared" ref="U183:U195" si="172">+V183+W183</f>
        <v>420</v>
      </c>
      <c r="V183" s="451">
        <f t="shared" ref="V183:W195" si="173">+Y183+AB183+AE183</f>
        <v>400</v>
      </c>
      <c r="W183" s="451">
        <f t="shared" si="173"/>
        <v>20</v>
      </c>
      <c r="X183" s="445">
        <f t="shared" si="158"/>
        <v>420</v>
      </c>
      <c r="Y183" s="445">
        <v>400</v>
      </c>
      <c r="Z183" s="445">
        <v>20</v>
      </c>
      <c r="AA183" s="445"/>
      <c r="AB183" s="481"/>
      <c r="AC183" s="481"/>
      <c r="AD183" s="445"/>
      <c r="AE183" s="481"/>
      <c r="AF183" s="481"/>
      <c r="AG183" s="445"/>
      <c r="AH183" s="481"/>
      <c r="AI183" s="481"/>
      <c r="AJ183" s="445"/>
      <c r="AK183" s="451"/>
      <c r="AL183" s="15"/>
      <c r="AM183" s="365">
        <f>+AM182-AG181</f>
        <v>0</v>
      </c>
      <c r="AN183" s="365">
        <f t="shared" ref="AN183:AO183" si="174">+AN182-AH181</f>
        <v>0</v>
      </c>
      <c r="AO183" s="365">
        <f t="shared" si="174"/>
        <v>0</v>
      </c>
    </row>
    <row r="184" spans="1:41" ht="75" hidden="1">
      <c r="A184" s="8">
        <f t="shared" ref="A184:A197" si="175">+A183+1</f>
        <v>3</v>
      </c>
      <c r="B184" s="328" t="s">
        <v>364</v>
      </c>
      <c r="C184" s="8" t="s">
        <v>365</v>
      </c>
      <c r="D184" s="8"/>
      <c r="E184" s="8" t="s">
        <v>94</v>
      </c>
      <c r="F184" s="27" t="s">
        <v>52</v>
      </c>
      <c r="G184" s="445">
        <f t="shared" si="157"/>
        <v>420</v>
      </c>
      <c r="H184" s="445">
        <v>400</v>
      </c>
      <c r="I184" s="445">
        <v>20</v>
      </c>
      <c r="J184" s="451">
        <v>0</v>
      </c>
      <c r="K184" s="483">
        <f t="shared" si="171"/>
        <v>0</v>
      </c>
      <c r="L184" s="451"/>
      <c r="M184" s="451"/>
      <c r="N184" s="483"/>
      <c r="O184" s="451"/>
      <c r="P184" s="451"/>
      <c r="Q184" s="466">
        <v>420</v>
      </c>
      <c r="R184" s="451">
        <v>400</v>
      </c>
      <c r="S184" s="451">
        <v>20</v>
      </c>
      <c r="T184" s="451"/>
      <c r="U184" s="451">
        <f t="shared" si="172"/>
        <v>420</v>
      </c>
      <c r="V184" s="451">
        <f t="shared" si="173"/>
        <v>400</v>
      </c>
      <c r="W184" s="451">
        <f t="shared" si="173"/>
        <v>20</v>
      </c>
      <c r="X184" s="445">
        <f t="shared" si="158"/>
        <v>420</v>
      </c>
      <c r="Y184" s="445">
        <v>400</v>
      </c>
      <c r="Z184" s="445">
        <v>20</v>
      </c>
      <c r="AA184" s="445"/>
      <c r="AB184" s="481"/>
      <c r="AC184" s="481"/>
      <c r="AD184" s="445"/>
      <c r="AE184" s="481"/>
      <c r="AF184" s="481"/>
      <c r="AG184" s="445"/>
      <c r="AH184" s="481"/>
      <c r="AI184" s="481"/>
      <c r="AJ184" s="445"/>
      <c r="AK184" s="451"/>
      <c r="AL184" s="15"/>
    </row>
    <row r="185" spans="1:41" ht="75" hidden="1">
      <c r="A185" s="8">
        <f t="shared" si="175"/>
        <v>4</v>
      </c>
      <c r="B185" s="328" t="s">
        <v>366</v>
      </c>
      <c r="C185" s="8" t="s">
        <v>367</v>
      </c>
      <c r="D185" s="8"/>
      <c r="E185" s="8" t="s">
        <v>94</v>
      </c>
      <c r="F185" s="27" t="s">
        <v>52</v>
      </c>
      <c r="G185" s="445">
        <f t="shared" si="157"/>
        <v>420</v>
      </c>
      <c r="H185" s="445">
        <v>400</v>
      </c>
      <c r="I185" s="445">
        <v>20</v>
      </c>
      <c r="J185" s="451">
        <v>0</v>
      </c>
      <c r="K185" s="483">
        <f t="shared" si="171"/>
        <v>0</v>
      </c>
      <c r="L185" s="451"/>
      <c r="M185" s="451"/>
      <c r="N185" s="483"/>
      <c r="O185" s="451"/>
      <c r="P185" s="451"/>
      <c r="Q185" s="466">
        <v>420</v>
      </c>
      <c r="R185" s="451">
        <v>400</v>
      </c>
      <c r="S185" s="451">
        <v>20</v>
      </c>
      <c r="T185" s="451"/>
      <c r="U185" s="451">
        <f t="shared" si="172"/>
        <v>420</v>
      </c>
      <c r="V185" s="451">
        <f t="shared" si="173"/>
        <v>400</v>
      </c>
      <c r="W185" s="451">
        <f t="shared" si="173"/>
        <v>20</v>
      </c>
      <c r="X185" s="445">
        <f t="shared" si="158"/>
        <v>420</v>
      </c>
      <c r="Y185" s="445">
        <v>400</v>
      </c>
      <c r="Z185" s="445">
        <v>20</v>
      </c>
      <c r="AA185" s="445"/>
      <c r="AB185" s="481"/>
      <c r="AC185" s="481"/>
      <c r="AD185" s="445"/>
      <c r="AE185" s="481"/>
      <c r="AF185" s="481"/>
      <c r="AG185" s="445"/>
      <c r="AH185" s="481"/>
      <c r="AI185" s="481"/>
      <c r="AJ185" s="445"/>
      <c r="AK185" s="451"/>
      <c r="AL185" s="15"/>
    </row>
    <row r="186" spans="1:41" ht="75" hidden="1">
      <c r="A186" s="8">
        <f t="shared" si="175"/>
        <v>5</v>
      </c>
      <c r="B186" s="328" t="s">
        <v>368</v>
      </c>
      <c r="C186" s="8" t="s">
        <v>369</v>
      </c>
      <c r="D186" s="8"/>
      <c r="E186" s="8" t="s">
        <v>251</v>
      </c>
      <c r="F186" s="8" t="s">
        <v>53</v>
      </c>
      <c r="G186" s="445">
        <f t="shared" si="157"/>
        <v>1455</v>
      </c>
      <c r="H186" s="445">
        <v>1386</v>
      </c>
      <c r="I186" s="445">
        <v>69</v>
      </c>
      <c r="J186" s="451"/>
      <c r="K186" s="483">
        <f>+L186+M186</f>
        <v>264.40999999999997</v>
      </c>
      <c r="L186" s="451">
        <f>+H186-R186</f>
        <v>258.27</v>
      </c>
      <c r="M186" s="451">
        <f>+I186-S186</f>
        <v>6.1400000000000006</v>
      </c>
      <c r="N186" s="483"/>
      <c r="O186" s="451"/>
      <c r="P186" s="451"/>
      <c r="Q186" s="466">
        <v>1190.5899999999999</v>
      </c>
      <c r="R186" s="451">
        <v>1127.73</v>
      </c>
      <c r="S186" s="451">
        <v>62.86</v>
      </c>
      <c r="T186" s="451"/>
      <c r="U186" s="451">
        <f t="shared" si="172"/>
        <v>1190.5899999999999</v>
      </c>
      <c r="V186" s="451">
        <f t="shared" si="173"/>
        <v>1127.73</v>
      </c>
      <c r="W186" s="451">
        <f t="shared" si="173"/>
        <v>62.86</v>
      </c>
      <c r="X186" s="445">
        <f t="shared" si="158"/>
        <v>0</v>
      </c>
      <c r="Y186" s="451"/>
      <c r="Z186" s="451"/>
      <c r="AA186" s="451">
        <f>+AB186+AC186</f>
        <v>1190.5899999999999</v>
      </c>
      <c r="AB186" s="483">
        <v>1127.73</v>
      </c>
      <c r="AC186" s="483">
        <v>62.86</v>
      </c>
      <c r="AD186" s="451"/>
      <c r="AE186" s="483"/>
      <c r="AF186" s="483"/>
      <c r="AG186" s="451"/>
      <c r="AH186" s="483"/>
      <c r="AI186" s="483"/>
      <c r="AJ186" s="451"/>
      <c r="AK186" s="451"/>
      <c r="AL186" s="15"/>
    </row>
    <row r="187" spans="1:41" ht="75" hidden="1">
      <c r="A187" s="8">
        <f t="shared" si="175"/>
        <v>6</v>
      </c>
      <c r="B187" s="328" t="s">
        <v>370</v>
      </c>
      <c r="C187" s="8" t="s">
        <v>371</v>
      </c>
      <c r="D187" s="8"/>
      <c r="E187" s="8" t="s">
        <v>372</v>
      </c>
      <c r="F187" s="8" t="s">
        <v>53</v>
      </c>
      <c r="G187" s="445">
        <f t="shared" si="157"/>
        <v>1890</v>
      </c>
      <c r="H187" s="445">
        <v>1800</v>
      </c>
      <c r="I187" s="445">
        <v>90</v>
      </c>
      <c r="J187" s="451"/>
      <c r="K187" s="483">
        <f t="shared" ref="K187:K190" si="176">+L187+M187</f>
        <v>392.71999999999991</v>
      </c>
      <c r="L187" s="451">
        <f t="shared" ref="L187:M190" si="177">+H187-R187</f>
        <v>377.56999999999994</v>
      </c>
      <c r="M187" s="451">
        <f t="shared" si="177"/>
        <v>15.150000000000006</v>
      </c>
      <c r="N187" s="483"/>
      <c r="O187" s="451"/>
      <c r="P187" s="451"/>
      <c r="Q187" s="466">
        <v>1497.28</v>
      </c>
      <c r="R187" s="451">
        <v>1422.43</v>
      </c>
      <c r="S187" s="451">
        <v>74.849999999999994</v>
      </c>
      <c r="T187" s="451"/>
      <c r="U187" s="451">
        <f t="shared" si="172"/>
        <v>1497.28</v>
      </c>
      <c r="V187" s="451">
        <f t="shared" si="173"/>
        <v>1422.43</v>
      </c>
      <c r="W187" s="451">
        <f t="shared" si="173"/>
        <v>74.849999999999994</v>
      </c>
      <c r="X187" s="445">
        <f t="shared" si="158"/>
        <v>0</v>
      </c>
      <c r="Y187" s="451"/>
      <c r="Z187" s="451"/>
      <c r="AA187" s="451">
        <f>+AB187+AC187</f>
        <v>1497.28</v>
      </c>
      <c r="AB187" s="483">
        <v>1422.43</v>
      </c>
      <c r="AC187" s="483">
        <v>74.849999999999994</v>
      </c>
      <c r="AD187" s="451"/>
      <c r="AE187" s="483"/>
      <c r="AF187" s="483"/>
      <c r="AG187" s="451"/>
      <c r="AH187" s="483"/>
      <c r="AI187" s="483"/>
      <c r="AJ187" s="451"/>
      <c r="AK187" s="451"/>
      <c r="AL187" s="15"/>
    </row>
    <row r="188" spans="1:41" ht="75" hidden="1">
      <c r="A188" s="8">
        <f t="shared" si="175"/>
        <v>7</v>
      </c>
      <c r="B188" s="328" t="s">
        <v>373</v>
      </c>
      <c r="C188" s="8" t="s">
        <v>374</v>
      </c>
      <c r="D188" s="8"/>
      <c r="E188" s="8" t="s">
        <v>326</v>
      </c>
      <c r="F188" s="8" t="s">
        <v>53</v>
      </c>
      <c r="G188" s="445">
        <f t="shared" si="157"/>
        <v>1575</v>
      </c>
      <c r="H188" s="445">
        <v>1500</v>
      </c>
      <c r="I188" s="445">
        <v>75</v>
      </c>
      <c r="J188" s="451"/>
      <c r="K188" s="483">
        <f t="shared" si="176"/>
        <v>70</v>
      </c>
      <c r="L188" s="451">
        <f t="shared" si="177"/>
        <v>70</v>
      </c>
      <c r="M188" s="451"/>
      <c r="N188" s="483">
        <f>+O188+P188</f>
        <v>8.2000000000000028</v>
      </c>
      <c r="O188" s="451"/>
      <c r="P188" s="451">
        <f>+S188-I188</f>
        <v>8.2000000000000028</v>
      </c>
      <c r="Q188" s="466">
        <v>1513.2</v>
      </c>
      <c r="R188" s="451">
        <v>1430</v>
      </c>
      <c r="S188" s="451">
        <v>83.2</v>
      </c>
      <c r="T188" s="451"/>
      <c r="U188" s="451">
        <f t="shared" si="172"/>
        <v>1513.2</v>
      </c>
      <c r="V188" s="451">
        <f t="shared" si="173"/>
        <v>1430</v>
      </c>
      <c r="W188" s="451">
        <f t="shared" si="173"/>
        <v>83.2</v>
      </c>
      <c r="X188" s="445">
        <f t="shared" si="158"/>
        <v>0</v>
      </c>
      <c r="Y188" s="451"/>
      <c r="Z188" s="451"/>
      <c r="AA188" s="451"/>
      <c r="AB188" s="483"/>
      <c r="AC188" s="483"/>
      <c r="AD188" s="451">
        <f>+AE188+AF188</f>
        <v>1513.2</v>
      </c>
      <c r="AE188" s="483">
        <v>1430</v>
      </c>
      <c r="AF188" s="483">
        <v>83.2</v>
      </c>
      <c r="AG188" s="451"/>
      <c r="AH188" s="483"/>
      <c r="AI188" s="483"/>
      <c r="AJ188" s="451"/>
      <c r="AK188" s="451"/>
      <c r="AL188" s="15"/>
    </row>
    <row r="189" spans="1:41" ht="30" hidden="1">
      <c r="A189" s="8">
        <f t="shared" si="175"/>
        <v>8</v>
      </c>
      <c r="B189" s="328" t="s">
        <v>375</v>
      </c>
      <c r="C189" s="8" t="s">
        <v>376</v>
      </c>
      <c r="D189" s="8"/>
      <c r="E189" s="8" t="s">
        <v>377</v>
      </c>
      <c r="F189" s="8" t="s">
        <v>54</v>
      </c>
      <c r="G189" s="445">
        <f t="shared" si="157"/>
        <v>1064</v>
      </c>
      <c r="H189" s="445">
        <v>1014</v>
      </c>
      <c r="I189" s="445">
        <v>50</v>
      </c>
      <c r="J189" s="451"/>
      <c r="K189" s="483">
        <f t="shared" si="176"/>
        <v>39.5</v>
      </c>
      <c r="L189" s="451">
        <f t="shared" si="177"/>
        <v>39.5</v>
      </c>
      <c r="M189" s="451"/>
      <c r="N189" s="483">
        <f>+O189+P189</f>
        <v>6.7000000000000028</v>
      </c>
      <c r="O189" s="451"/>
      <c r="P189" s="451">
        <f>+S189-I189</f>
        <v>6.7000000000000028</v>
      </c>
      <c r="Q189" s="466">
        <v>1031.2</v>
      </c>
      <c r="R189" s="451">
        <v>974.5</v>
      </c>
      <c r="S189" s="451">
        <v>56.7</v>
      </c>
      <c r="T189" s="451"/>
      <c r="U189" s="451">
        <f t="shared" si="172"/>
        <v>1031.2</v>
      </c>
      <c r="V189" s="451">
        <f t="shared" si="173"/>
        <v>974.5</v>
      </c>
      <c r="W189" s="451">
        <f t="shared" si="173"/>
        <v>56.7</v>
      </c>
      <c r="X189" s="445">
        <f t="shared" si="158"/>
        <v>0</v>
      </c>
      <c r="Y189" s="451"/>
      <c r="Z189" s="451"/>
      <c r="AA189" s="451"/>
      <c r="AB189" s="483"/>
      <c r="AC189" s="483"/>
      <c r="AD189" s="451">
        <f t="shared" ref="AD189:AD190" si="178">+AE189+AF189</f>
        <v>1031.2</v>
      </c>
      <c r="AE189" s="483">
        <v>974.5</v>
      </c>
      <c r="AF189" s="483">
        <v>56.7</v>
      </c>
      <c r="AG189" s="451"/>
      <c r="AH189" s="483"/>
      <c r="AI189" s="483"/>
      <c r="AJ189" s="451"/>
      <c r="AK189" s="451"/>
      <c r="AL189" s="15"/>
    </row>
    <row r="190" spans="1:41" ht="30" hidden="1">
      <c r="A190" s="8">
        <f t="shared" si="175"/>
        <v>9</v>
      </c>
      <c r="B190" s="328" t="s">
        <v>378</v>
      </c>
      <c r="C190" s="8" t="s">
        <v>379</v>
      </c>
      <c r="D190" s="8"/>
      <c r="E190" s="8" t="s">
        <v>380</v>
      </c>
      <c r="F190" s="8" t="s">
        <v>54</v>
      </c>
      <c r="G190" s="445">
        <f t="shared" si="157"/>
        <v>504</v>
      </c>
      <c r="H190" s="445">
        <v>480</v>
      </c>
      <c r="I190" s="445">
        <v>24</v>
      </c>
      <c r="J190" s="451">
        <v>0</v>
      </c>
      <c r="K190" s="483">
        <f t="shared" si="176"/>
        <v>324.10000000000002</v>
      </c>
      <c r="L190" s="451">
        <f t="shared" si="177"/>
        <v>310</v>
      </c>
      <c r="M190" s="451">
        <f t="shared" si="177"/>
        <v>14.1</v>
      </c>
      <c r="N190" s="483"/>
      <c r="O190" s="451"/>
      <c r="P190" s="451"/>
      <c r="Q190" s="466">
        <v>179.9</v>
      </c>
      <c r="R190" s="451">
        <v>170</v>
      </c>
      <c r="S190" s="451">
        <v>9.9</v>
      </c>
      <c r="T190" s="451"/>
      <c r="U190" s="451">
        <f t="shared" si="172"/>
        <v>179.9</v>
      </c>
      <c r="V190" s="451">
        <f t="shared" si="173"/>
        <v>170</v>
      </c>
      <c r="W190" s="451">
        <f t="shared" si="173"/>
        <v>9.9</v>
      </c>
      <c r="X190" s="445">
        <f t="shared" si="158"/>
        <v>0</v>
      </c>
      <c r="Y190" s="451"/>
      <c r="Z190" s="451"/>
      <c r="AA190" s="451"/>
      <c r="AB190" s="483"/>
      <c r="AC190" s="483"/>
      <c r="AD190" s="451">
        <f t="shared" si="178"/>
        <v>179.9</v>
      </c>
      <c r="AE190" s="483">
        <v>170</v>
      </c>
      <c r="AF190" s="483">
        <v>9.9</v>
      </c>
      <c r="AG190" s="451"/>
      <c r="AH190" s="483"/>
      <c r="AI190" s="483"/>
      <c r="AJ190" s="451"/>
      <c r="AK190" s="451"/>
      <c r="AL190" s="15"/>
    </row>
    <row r="191" spans="1:41" ht="30" hidden="1">
      <c r="A191" s="8">
        <f t="shared" si="175"/>
        <v>10</v>
      </c>
      <c r="B191" s="327" t="s">
        <v>937</v>
      </c>
      <c r="C191" s="8" t="s">
        <v>381</v>
      </c>
      <c r="D191" s="8"/>
      <c r="E191" s="8" t="s">
        <v>382</v>
      </c>
      <c r="F191" s="8" t="s">
        <v>54</v>
      </c>
      <c r="G191" s="445">
        <f t="shared" si="157"/>
        <v>169.5</v>
      </c>
      <c r="H191" s="445">
        <v>160</v>
      </c>
      <c r="I191" s="445">
        <v>9.5</v>
      </c>
      <c r="J191" s="451">
        <v>0</v>
      </c>
      <c r="K191" s="483">
        <f t="shared" si="171"/>
        <v>0</v>
      </c>
      <c r="L191" s="451"/>
      <c r="M191" s="451"/>
      <c r="N191" s="483"/>
      <c r="O191" s="451"/>
      <c r="P191" s="451"/>
      <c r="Q191" s="466">
        <v>169.5</v>
      </c>
      <c r="R191" s="451">
        <v>160</v>
      </c>
      <c r="S191" s="451">
        <v>9.5</v>
      </c>
      <c r="T191" s="451"/>
      <c r="U191" s="451">
        <f t="shared" si="172"/>
        <v>0</v>
      </c>
      <c r="V191" s="451">
        <f t="shared" si="173"/>
        <v>0</v>
      </c>
      <c r="W191" s="451">
        <f t="shared" si="173"/>
        <v>0</v>
      </c>
      <c r="X191" s="445">
        <f t="shared" si="158"/>
        <v>0</v>
      </c>
      <c r="Y191" s="451"/>
      <c r="Z191" s="451"/>
      <c r="AA191" s="451"/>
      <c r="AB191" s="483"/>
      <c r="AC191" s="483"/>
      <c r="AD191" s="451"/>
      <c r="AE191" s="483"/>
      <c r="AF191" s="483"/>
      <c r="AG191" s="451">
        <f t="shared" ref="AG191:AG195" si="179">+AH191+AI191</f>
        <v>169.5</v>
      </c>
      <c r="AH191" s="445">
        <v>160</v>
      </c>
      <c r="AI191" s="445">
        <v>9.5</v>
      </c>
      <c r="AJ191" s="451"/>
      <c r="AK191" s="451"/>
      <c r="AL191" s="15"/>
    </row>
    <row r="192" spans="1:41" ht="30" hidden="1">
      <c r="A192" s="8">
        <f t="shared" si="175"/>
        <v>11</v>
      </c>
      <c r="B192" s="328" t="s">
        <v>383</v>
      </c>
      <c r="C192" s="8" t="s">
        <v>384</v>
      </c>
      <c r="D192" s="8"/>
      <c r="E192" s="8" t="s">
        <v>385</v>
      </c>
      <c r="F192" s="8" t="s">
        <v>54</v>
      </c>
      <c r="G192" s="445">
        <f t="shared" si="157"/>
        <v>420</v>
      </c>
      <c r="H192" s="445">
        <v>400</v>
      </c>
      <c r="I192" s="445">
        <v>20</v>
      </c>
      <c r="J192" s="451">
        <v>0</v>
      </c>
      <c r="K192" s="483">
        <f t="shared" si="171"/>
        <v>0</v>
      </c>
      <c r="L192" s="451"/>
      <c r="M192" s="451"/>
      <c r="N192" s="483"/>
      <c r="O192" s="451"/>
      <c r="P192" s="451"/>
      <c r="Q192" s="466">
        <v>420</v>
      </c>
      <c r="R192" s="451">
        <v>400</v>
      </c>
      <c r="S192" s="451">
        <v>20</v>
      </c>
      <c r="T192" s="451"/>
      <c r="U192" s="451">
        <f t="shared" si="172"/>
        <v>0</v>
      </c>
      <c r="V192" s="451">
        <f t="shared" si="173"/>
        <v>0</v>
      </c>
      <c r="W192" s="451">
        <f t="shared" si="173"/>
        <v>0</v>
      </c>
      <c r="X192" s="445">
        <f t="shared" si="158"/>
        <v>0</v>
      </c>
      <c r="Y192" s="451"/>
      <c r="Z192" s="451"/>
      <c r="AA192" s="451"/>
      <c r="AB192" s="483"/>
      <c r="AC192" s="483"/>
      <c r="AD192" s="451"/>
      <c r="AE192" s="483"/>
      <c r="AF192" s="483"/>
      <c r="AG192" s="451">
        <f t="shared" si="179"/>
        <v>420</v>
      </c>
      <c r="AH192" s="445">
        <v>400</v>
      </c>
      <c r="AI192" s="445">
        <v>20</v>
      </c>
      <c r="AJ192" s="451"/>
      <c r="AK192" s="451"/>
      <c r="AL192" s="15"/>
    </row>
    <row r="193" spans="1:41" ht="45" hidden="1">
      <c r="A193" s="8">
        <f t="shared" si="175"/>
        <v>12</v>
      </c>
      <c r="B193" s="328" t="s">
        <v>386</v>
      </c>
      <c r="C193" s="8" t="s">
        <v>384</v>
      </c>
      <c r="D193" s="8"/>
      <c r="E193" s="8" t="s">
        <v>387</v>
      </c>
      <c r="F193" s="27" t="s">
        <v>55</v>
      </c>
      <c r="G193" s="445">
        <f t="shared" si="157"/>
        <v>414.89</v>
      </c>
      <c r="H193" s="445">
        <v>394.89</v>
      </c>
      <c r="I193" s="445">
        <v>20</v>
      </c>
      <c r="J193" s="451">
        <v>0</v>
      </c>
      <c r="K193" s="483">
        <f t="shared" si="171"/>
        <v>0</v>
      </c>
      <c r="L193" s="451"/>
      <c r="M193" s="451"/>
      <c r="N193" s="483"/>
      <c r="O193" s="451"/>
      <c r="P193" s="451"/>
      <c r="Q193" s="466">
        <v>414.89</v>
      </c>
      <c r="R193" s="451">
        <v>394.89</v>
      </c>
      <c r="S193" s="451">
        <v>20</v>
      </c>
      <c r="T193" s="451"/>
      <c r="U193" s="451">
        <f t="shared" si="172"/>
        <v>0</v>
      </c>
      <c r="V193" s="451">
        <f t="shared" si="173"/>
        <v>0</v>
      </c>
      <c r="W193" s="451">
        <f t="shared" si="173"/>
        <v>0</v>
      </c>
      <c r="X193" s="445">
        <f t="shared" si="158"/>
        <v>0</v>
      </c>
      <c r="Y193" s="451"/>
      <c r="Z193" s="451"/>
      <c r="AA193" s="451"/>
      <c r="AB193" s="483"/>
      <c r="AC193" s="483"/>
      <c r="AD193" s="451"/>
      <c r="AE193" s="483"/>
      <c r="AF193" s="483"/>
      <c r="AG193" s="451">
        <f t="shared" si="179"/>
        <v>414.89</v>
      </c>
      <c r="AH193" s="445">
        <v>394.89</v>
      </c>
      <c r="AI193" s="445">
        <v>20</v>
      </c>
      <c r="AJ193" s="451"/>
      <c r="AK193" s="451"/>
      <c r="AL193" s="15"/>
    </row>
    <row r="194" spans="1:41" ht="45" hidden="1">
      <c r="A194" s="8">
        <f t="shared" si="175"/>
        <v>13</v>
      </c>
      <c r="B194" s="328" t="s">
        <v>388</v>
      </c>
      <c r="C194" s="8" t="s">
        <v>379</v>
      </c>
      <c r="D194" s="8"/>
      <c r="E194" s="8" t="s">
        <v>389</v>
      </c>
      <c r="F194" s="27" t="s">
        <v>55</v>
      </c>
      <c r="G194" s="445">
        <f t="shared" si="157"/>
        <v>559</v>
      </c>
      <c r="H194" s="445">
        <v>532</v>
      </c>
      <c r="I194" s="445">
        <v>27</v>
      </c>
      <c r="J194" s="451">
        <v>0</v>
      </c>
      <c r="K194" s="483">
        <f t="shared" si="171"/>
        <v>0</v>
      </c>
      <c r="L194" s="451"/>
      <c r="M194" s="451"/>
      <c r="N194" s="483"/>
      <c r="O194" s="451"/>
      <c r="P194" s="451"/>
      <c r="Q194" s="466">
        <v>559</v>
      </c>
      <c r="R194" s="451">
        <v>532</v>
      </c>
      <c r="S194" s="451">
        <v>27</v>
      </c>
      <c r="T194" s="451"/>
      <c r="U194" s="451">
        <f t="shared" si="172"/>
        <v>0</v>
      </c>
      <c r="V194" s="451">
        <f t="shared" si="173"/>
        <v>0</v>
      </c>
      <c r="W194" s="451">
        <f t="shared" si="173"/>
        <v>0</v>
      </c>
      <c r="X194" s="445">
        <f t="shared" si="158"/>
        <v>0</v>
      </c>
      <c r="Y194" s="451"/>
      <c r="Z194" s="451"/>
      <c r="AA194" s="451"/>
      <c r="AB194" s="483"/>
      <c r="AC194" s="483"/>
      <c r="AD194" s="451"/>
      <c r="AE194" s="483"/>
      <c r="AF194" s="483"/>
      <c r="AG194" s="451">
        <f t="shared" si="179"/>
        <v>559</v>
      </c>
      <c r="AH194" s="445">
        <v>532</v>
      </c>
      <c r="AI194" s="445">
        <v>27</v>
      </c>
      <c r="AJ194" s="451"/>
      <c r="AK194" s="451"/>
      <c r="AL194" s="15"/>
    </row>
    <row r="195" spans="1:41" ht="45" hidden="1">
      <c r="A195" s="8">
        <f t="shared" si="175"/>
        <v>14</v>
      </c>
      <c r="B195" s="328" t="s">
        <v>390</v>
      </c>
      <c r="C195" s="8" t="s">
        <v>384</v>
      </c>
      <c r="D195" s="8"/>
      <c r="E195" s="8" t="s">
        <v>391</v>
      </c>
      <c r="F195" s="27" t="s">
        <v>55</v>
      </c>
      <c r="G195" s="445">
        <f t="shared" si="157"/>
        <v>1050</v>
      </c>
      <c r="H195" s="445">
        <v>1000</v>
      </c>
      <c r="I195" s="445">
        <v>50</v>
      </c>
      <c r="J195" s="451">
        <v>0</v>
      </c>
      <c r="K195" s="483">
        <f t="shared" si="171"/>
        <v>0</v>
      </c>
      <c r="L195" s="451"/>
      <c r="M195" s="451"/>
      <c r="N195" s="483"/>
      <c r="O195" s="451"/>
      <c r="P195" s="451"/>
      <c r="Q195" s="466">
        <v>1050</v>
      </c>
      <c r="R195" s="451">
        <v>1000</v>
      </c>
      <c r="S195" s="451">
        <v>50</v>
      </c>
      <c r="T195" s="451"/>
      <c r="U195" s="451">
        <f t="shared" si="172"/>
        <v>0</v>
      </c>
      <c r="V195" s="451">
        <f t="shared" si="173"/>
        <v>0</v>
      </c>
      <c r="W195" s="451">
        <f t="shared" si="173"/>
        <v>0</v>
      </c>
      <c r="X195" s="445">
        <f t="shared" si="158"/>
        <v>0</v>
      </c>
      <c r="Y195" s="451"/>
      <c r="Z195" s="451"/>
      <c r="AA195" s="451"/>
      <c r="AB195" s="483"/>
      <c r="AC195" s="483"/>
      <c r="AD195" s="451"/>
      <c r="AE195" s="483"/>
      <c r="AF195" s="483"/>
      <c r="AG195" s="451">
        <f t="shared" si="179"/>
        <v>1050</v>
      </c>
      <c r="AH195" s="445">
        <v>1000</v>
      </c>
      <c r="AI195" s="445">
        <v>50</v>
      </c>
      <c r="AJ195" s="451"/>
      <c r="AK195" s="451"/>
      <c r="AL195" s="15"/>
    </row>
    <row r="196" spans="1:41" ht="30" hidden="1">
      <c r="A196" s="8">
        <f t="shared" si="175"/>
        <v>15</v>
      </c>
      <c r="B196" s="328" t="s">
        <v>1132</v>
      </c>
      <c r="C196" s="8" t="s">
        <v>369</v>
      </c>
      <c r="D196" s="8"/>
      <c r="E196" s="8"/>
      <c r="F196" s="27" t="s">
        <v>55</v>
      </c>
      <c r="G196" s="445"/>
      <c r="H196" s="445"/>
      <c r="I196" s="445"/>
      <c r="J196" s="451"/>
      <c r="K196" s="483"/>
      <c r="L196" s="451"/>
      <c r="M196" s="451"/>
      <c r="N196" s="466">
        <v>605.28</v>
      </c>
      <c r="O196" s="451">
        <v>593.17999999999995</v>
      </c>
      <c r="P196" s="451">
        <v>12.1</v>
      </c>
      <c r="Q196" s="466">
        <v>605.28</v>
      </c>
      <c r="R196" s="451">
        <v>593.17999999999995</v>
      </c>
      <c r="S196" s="451">
        <v>12.1</v>
      </c>
      <c r="T196" s="451"/>
      <c r="U196" s="451"/>
      <c r="V196" s="451"/>
      <c r="W196" s="451"/>
      <c r="X196" s="445"/>
      <c r="Y196" s="451"/>
      <c r="Z196" s="451"/>
      <c r="AA196" s="451"/>
      <c r="AB196" s="483"/>
      <c r="AC196" s="483"/>
      <c r="AD196" s="451"/>
      <c r="AE196" s="483"/>
      <c r="AF196" s="483"/>
      <c r="AG196" s="451">
        <f>+AH196+AI196</f>
        <v>605.28</v>
      </c>
      <c r="AH196" s="483">
        <v>593.17999999999995</v>
      </c>
      <c r="AI196" s="483">
        <v>12.1</v>
      </c>
      <c r="AJ196" s="451"/>
      <c r="AK196" s="451"/>
      <c r="AL196" s="15"/>
    </row>
    <row r="197" spans="1:41" ht="30" hidden="1">
      <c r="A197" s="8">
        <f t="shared" si="175"/>
        <v>16</v>
      </c>
      <c r="B197" s="328" t="s">
        <v>1133</v>
      </c>
      <c r="C197" s="8" t="s">
        <v>361</v>
      </c>
      <c r="D197" s="8"/>
      <c r="E197" s="8"/>
      <c r="F197" s="27" t="s">
        <v>55</v>
      </c>
      <c r="G197" s="445"/>
      <c r="H197" s="445"/>
      <c r="I197" s="445"/>
      <c r="J197" s="451"/>
      <c r="K197" s="483"/>
      <c r="L197" s="451"/>
      <c r="M197" s="451"/>
      <c r="N197" s="466">
        <v>470.55</v>
      </c>
      <c r="O197" s="451">
        <v>462.16</v>
      </c>
      <c r="P197" s="451">
        <v>8.39</v>
      </c>
      <c r="Q197" s="466">
        <v>470.55</v>
      </c>
      <c r="R197" s="451">
        <v>462.16</v>
      </c>
      <c r="S197" s="451">
        <v>8.39</v>
      </c>
      <c r="T197" s="451"/>
      <c r="U197" s="451"/>
      <c r="V197" s="451"/>
      <c r="W197" s="451"/>
      <c r="X197" s="445"/>
      <c r="Y197" s="451"/>
      <c r="Z197" s="451"/>
      <c r="AA197" s="451"/>
      <c r="AB197" s="483"/>
      <c r="AC197" s="483"/>
      <c r="AD197" s="451"/>
      <c r="AE197" s="483"/>
      <c r="AF197" s="483"/>
      <c r="AG197" s="451">
        <f>+AH197+AI197</f>
        <v>470.55</v>
      </c>
      <c r="AH197" s="483">
        <v>462.16</v>
      </c>
      <c r="AI197" s="483">
        <v>8.39</v>
      </c>
      <c r="AJ197" s="451"/>
      <c r="AK197" s="451"/>
      <c r="AL197" s="15"/>
    </row>
    <row r="198" spans="1:41" s="14" customFormat="1" ht="23.25" customHeight="1">
      <c r="A198" s="4" t="s">
        <v>999</v>
      </c>
      <c r="B198" s="416" t="s">
        <v>393</v>
      </c>
      <c r="C198" s="418"/>
      <c r="D198" s="418"/>
      <c r="E198" s="417">
        <v>0</v>
      </c>
      <c r="F198" s="417"/>
      <c r="G198" s="446">
        <f>SUM(G199:G217)</f>
        <v>10113.950000000001</v>
      </c>
      <c r="H198" s="446">
        <f>SUM(H199:H217)</f>
        <v>9632.9500000000007</v>
      </c>
      <c r="I198" s="446">
        <f>SUM(I199:I217)</f>
        <v>481</v>
      </c>
      <c r="J198" s="446">
        <f>SUM(J199:J217)</f>
        <v>0</v>
      </c>
      <c r="K198" s="446">
        <f t="shared" ref="K198:AI198" si="180">SUM(K199:K217)</f>
        <v>50.890239999999949</v>
      </c>
      <c r="L198" s="446">
        <f t="shared" si="180"/>
        <v>31.305039999999906</v>
      </c>
      <c r="M198" s="446">
        <f t="shared" si="180"/>
        <v>25.385200000000001</v>
      </c>
      <c r="N198" s="446">
        <f t="shared" si="180"/>
        <v>56.69023999999996</v>
      </c>
      <c r="O198" s="446">
        <f t="shared" si="180"/>
        <v>31.305039999999963</v>
      </c>
      <c r="P198" s="446">
        <f t="shared" si="180"/>
        <v>25.385199999999998</v>
      </c>
      <c r="Q198" s="446">
        <f t="shared" si="180"/>
        <v>10113.950000000001</v>
      </c>
      <c r="R198" s="446">
        <f t="shared" si="180"/>
        <v>9632.9500000000007</v>
      </c>
      <c r="S198" s="446">
        <f t="shared" si="180"/>
        <v>480.99999999999994</v>
      </c>
      <c r="T198" s="446">
        <f t="shared" si="180"/>
        <v>0</v>
      </c>
      <c r="U198" s="446">
        <f t="shared" si="180"/>
        <v>6854.0990599999996</v>
      </c>
      <c r="V198" s="446">
        <f t="shared" si="180"/>
        <v>6507.334960000001</v>
      </c>
      <c r="W198" s="446">
        <f t="shared" si="180"/>
        <v>346.76409999999993</v>
      </c>
      <c r="X198" s="446">
        <f t="shared" si="180"/>
        <v>2066.75</v>
      </c>
      <c r="Y198" s="446">
        <f t="shared" si="180"/>
        <v>1983.75</v>
      </c>
      <c r="Z198" s="446">
        <f t="shared" si="180"/>
        <v>83</v>
      </c>
      <c r="AA198" s="446">
        <f t="shared" si="180"/>
        <v>2304.34906</v>
      </c>
      <c r="AB198" s="446">
        <f t="shared" si="180"/>
        <v>2177.0849600000001</v>
      </c>
      <c r="AC198" s="446">
        <f t="shared" si="180"/>
        <v>127.2641</v>
      </c>
      <c r="AD198" s="446">
        <f t="shared" si="180"/>
        <v>2483</v>
      </c>
      <c r="AE198" s="446">
        <f t="shared" si="180"/>
        <v>2346.5</v>
      </c>
      <c r="AF198" s="446">
        <f t="shared" si="180"/>
        <v>136.5</v>
      </c>
      <c r="AG198" s="446">
        <f t="shared" si="180"/>
        <v>3259.8509399999998</v>
      </c>
      <c r="AH198" s="446">
        <f t="shared" si="180"/>
        <v>3125.6150399999997</v>
      </c>
      <c r="AI198" s="446">
        <f t="shared" si="180"/>
        <v>134.23590000000002</v>
      </c>
      <c r="AJ198" s="446"/>
      <c r="AK198" s="446">
        <f>SUM(AK199:AK217)</f>
        <v>190</v>
      </c>
      <c r="AL198" s="16"/>
      <c r="AM198" s="368">
        <f>+'NĂM 2022'!K67+'NĂM 2023'!N78+'NĂM 2024'!J74+'NĂM 2025'!J67</f>
        <v>10113.950000000001</v>
      </c>
      <c r="AN198" s="368">
        <f>+'NĂM 2022'!L67+'NĂM 2023'!O78+'NĂM 2024'!K74+'NĂM 2025'!K67</f>
        <v>9632.9500000000007</v>
      </c>
      <c r="AO198" s="368">
        <f>+'NĂM 2022'!M67+'NĂM 2023'!P78+'NĂM 2024'!L74+'NĂM 2025'!L67</f>
        <v>481</v>
      </c>
    </row>
    <row r="199" spans="1:41" s="146" customFormat="1" ht="30" hidden="1">
      <c r="A199" s="141">
        <v>1</v>
      </c>
      <c r="B199" s="337" t="s">
        <v>394</v>
      </c>
      <c r="C199" s="157" t="s">
        <v>395</v>
      </c>
      <c r="D199" s="157"/>
      <c r="E199" s="141" t="s">
        <v>396</v>
      </c>
      <c r="F199" s="158" t="s">
        <v>52</v>
      </c>
      <c r="G199" s="447">
        <f t="shared" si="157"/>
        <v>1047</v>
      </c>
      <c r="H199" s="447">
        <v>997</v>
      </c>
      <c r="I199" s="447">
        <v>50</v>
      </c>
      <c r="J199" s="448">
        <v>0</v>
      </c>
      <c r="K199" s="483">
        <f>+G199-Q199</f>
        <v>0</v>
      </c>
      <c r="L199" s="448">
        <f>+H199-R199</f>
        <v>0</v>
      </c>
      <c r="M199" s="448">
        <f>+I199-S199</f>
        <v>0</v>
      </c>
      <c r="N199" s="483"/>
      <c r="O199" s="448"/>
      <c r="P199" s="448"/>
      <c r="Q199" s="466">
        <f>+R199+S199</f>
        <v>1047</v>
      </c>
      <c r="R199" s="448">
        <v>997</v>
      </c>
      <c r="S199" s="448">
        <v>50</v>
      </c>
      <c r="T199" s="448"/>
      <c r="U199" s="448">
        <f>+V199+W199</f>
        <v>1047</v>
      </c>
      <c r="V199" s="448">
        <f>+Y199+AB199+AE199</f>
        <v>997</v>
      </c>
      <c r="W199" s="448">
        <f>+Z199+AC199+AF199</f>
        <v>50</v>
      </c>
      <c r="X199" s="445">
        <f t="shared" si="158"/>
        <v>1047</v>
      </c>
      <c r="Y199" s="447">
        <v>997</v>
      </c>
      <c r="Z199" s="447">
        <v>50</v>
      </c>
      <c r="AA199" s="447"/>
      <c r="AB199" s="481"/>
      <c r="AC199" s="481"/>
      <c r="AD199" s="447"/>
      <c r="AE199" s="481"/>
      <c r="AF199" s="481"/>
      <c r="AG199" s="447"/>
      <c r="AH199" s="481"/>
      <c r="AI199" s="481"/>
      <c r="AJ199" s="447"/>
      <c r="AK199" s="448"/>
      <c r="AL199" s="145"/>
      <c r="AM199" s="523">
        <f>+G198-U198</f>
        <v>3259.8509400000012</v>
      </c>
      <c r="AN199" s="523">
        <f>+H198-V198</f>
        <v>3125.6150399999997</v>
      </c>
      <c r="AO199" s="523">
        <f>+I198-W198</f>
        <v>134.23590000000007</v>
      </c>
    </row>
    <row r="200" spans="1:41" s="146" customFormat="1" ht="60" hidden="1">
      <c r="A200" s="141">
        <v>2</v>
      </c>
      <c r="B200" s="337" t="s">
        <v>397</v>
      </c>
      <c r="C200" s="157" t="s">
        <v>398</v>
      </c>
      <c r="D200" s="157"/>
      <c r="E200" s="150" t="s">
        <v>399</v>
      </c>
      <c r="F200" s="158" t="s">
        <v>52</v>
      </c>
      <c r="G200" s="447">
        <f t="shared" si="157"/>
        <v>701</v>
      </c>
      <c r="H200" s="447">
        <v>668</v>
      </c>
      <c r="I200" s="447">
        <v>33</v>
      </c>
      <c r="J200" s="448">
        <v>0</v>
      </c>
      <c r="K200" s="483">
        <f t="shared" ref="K200:M217" si="181">+G200-Q200</f>
        <v>0</v>
      </c>
      <c r="L200" s="448">
        <f t="shared" si="181"/>
        <v>0</v>
      </c>
      <c r="M200" s="448">
        <f t="shared" si="181"/>
        <v>0</v>
      </c>
      <c r="N200" s="483"/>
      <c r="O200" s="448"/>
      <c r="P200" s="448"/>
      <c r="Q200" s="466">
        <f t="shared" ref="Q200:Q217" si="182">+R200+S200</f>
        <v>701</v>
      </c>
      <c r="R200" s="448">
        <v>668</v>
      </c>
      <c r="S200" s="448">
        <v>33</v>
      </c>
      <c r="T200" s="448"/>
      <c r="U200" s="448">
        <f t="shared" ref="U200:U217" si="183">+V200+W200</f>
        <v>701</v>
      </c>
      <c r="V200" s="448">
        <f t="shared" ref="V200:W217" si="184">+Y200+AB200+AE200</f>
        <v>668</v>
      </c>
      <c r="W200" s="448">
        <f t="shared" si="184"/>
        <v>33</v>
      </c>
      <c r="X200" s="445">
        <f t="shared" si="158"/>
        <v>701</v>
      </c>
      <c r="Y200" s="447">
        <v>668</v>
      </c>
      <c r="Z200" s="447">
        <v>33</v>
      </c>
      <c r="AA200" s="447"/>
      <c r="AB200" s="481"/>
      <c r="AC200" s="481"/>
      <c r="AD200" s="447"/>
      <c r="AE200" s="481"/>
      <c r="AF200" s="481"/>
      <c r="AG200" s="447"/>
      <c r="AH200" s="481"/>
      <c r="AI200" s="481"/>
      <c r="AJ200" s="447"/>
      <c r="AK200" s="448"/>
      <c r="AL200" s="145"/>
      <c r="AM200" s="525">
        <f>+AM199-AG198</f>
        <v>0</v>
      </c>
      <c r="AN200" s="525">
        <f t="shared" ref="AN200:AO200" si="185">+AN199-AH198</f>
        <v>0</v>
      </c>
      <c r="AO200" s="524">
        <f t="shared" si="185"/>
        <v>0</v>
      </c>
    </row>
    <row r="201" spans="1:41" s="146" customFormat="1" ht="30" hidden="1">
      <c r="A201" s="141">
        <v>3</v>
      </c>
      <c r="B201" s="337" t="s">
        <v>400</v>
      </c>
      <c r="C201" s="157" t="s">
        <v>401</v>
      </c>
      <c r="D201" s="157"/>
      <c r="E201" s="141" t="s">
        <v>402</v>
      </c>
      <c r="F201" s="158" t="s">
        <v>52</v>
      </c>
      <c r="G201" s="447">
        <f t="shared" si="157"/>
        <v>399</v>
      </c>
      <c r="H201" s="447">
        <v>380</v>
      </c>
      <c r="I201" s="447">
        <v>19</v>
      </c>
      <c r="J201" s="448">
        <v>0</v>
      </c>
      <c r="K201" s="483">
        <f>+L201+M201</f>
        <v>5.0610999999999997</v>
      </c>
      <c r="L201" s="448">
        <f t="shared" si="181"/>
        <v>0</v>
      </c>
      <c r="M201" s="448">
        <f t="shared" si="181"/>
        <v>5.0610999999999997</v>
      </c>
      <c r="N201" s="483"/>
      <c r="O201" s="448"/>
      <c r="P201" s="448"/>
      <c r="Q201" s="466">
        <f t="shared" si="182"/>
        <v>393.93889999999999</v>
      </c>
      <c r="R201" s="448">
        <v>380</v>
      </c>
      <c r="S201" s="448">
        <v>13.9389</v>
      </c>
      <c r="T201" s="448"/>
      <c r="U201" s="448">
        <f t="shared" si="183"/>
        <v>393.93889999999999</v>
      </c>
      <c r="V201" s="448">
        <f t="shared" si="184"/>
        <v>380</v>
      </c>
      <c r="W201" s="448">
        <f t="shared" si="184"/>
        <v>13.9389</v>
      </c>
      <c r="X201" s="445">
        <f>+Y201+Z201</f>
        <v>318.75</v>
      </c>
      <c r="Y201" s="447">
        <v>318.75</v>
      </c>
      <c r="Z201" s="447">
        <v>0</v>
      </c>
      <c r="AA201" s="447">
        <f>+AB201+AC201</f>
        <v>75.188900000000004</v>
      </c>
      <c r="AB201" s="481">
        <v>61.25</v>
      </c>
      <c r="AC201" s="481">
        <f>19-5.0611</f>
        <v>13.9389</v>
      </c>
      <c r="AD201" s="447"/>
      <c r="AE201" s="481"/>
      <c r="AF201" s="481"/>
      <c r="AG201" s="447"/>
      <c r="AH201" s="481"/>
      <c r="AI201" s="481"/>
      <c r="AJ201" s="447"/>
      <c r="AK201" s="448"/>
      <c r="AL201" s="145"/>
      <c r="AM201" s="369"/>
      <c r="AN201" s="369"/>
      <c r="AO201" s="369"/>
    </row>
    <row r="202" spans="1:41" s="146" customFormat="1" ht="60" hidden="1">
      <c r="A202" s="141">
        <v>4</v>
      </c>
      <c r="B202" s="337" t="s">
        <v>403</v>
      </c>
      <c r="C202" s="157" t="s">
        <v>398</v>
      </c>
      <c r="D202" s="157"/>
      <c r="E202" s="150" t="s">
        <v>404</v>
      </c>
      <c r="F202" s="158" t="s">
        <v>53</v>
      </c>
      <c r="G202" s="447">
        <f t="shared" si="157"/>
        <v>448</v>
      </c>
      <c r="H202" s="447">
        <v>428</v>
      </c>
      <c r="I202" s="447">
        <v>20</v>
      </c>
      <c r="J202" s="448">
        <v>0</v>
      </c>
      <c r="K202" s="483">
        <f>+L202+M202</f>
        <v>5.5047000000000139</v>
      </c>
      <c r="L202" s="448">
        <f t="shared" si="181"/>
        <v>5.5047000000000139</v>
      </c>
      <c r="M202" s="448">
        <f t="shared" si="181"/>
        <v>0</v>
      </c>
      <c r="N202" s="483"/>
      <c r="O202" s="448"/>
      <c r="P202" s="448"/>
      <c r="Q202" s="466">
        <f t="shared" si="182"/>
        <v>442.49529999999999</v>
      </c>
      <c r="R202" s="448">
        <v>422.49529999999999</v>
      </c>
      <c r="S202" s="448">
        <v>20</v>
      </c>
      <c r="T202" s="448"/>
      <c r="U202" s="448">
        <f t="shared" si="183"/>
        <v>442.49529999999999</v>
      </c>
      <c r="V202" s="448">
        <f t="shared" si="184"/>
        <v>422.49529999999999</v>
      </c>
      <c r="W202" s="448">
        <f t="shared" si="184"/>
        <v>20</v>
      </c>
      <c r="X202" s="445">
        <f t="shared" si="158"/>
        <v>0</v>
      </c>
      <c r="Y202" s="448"/>
      <c r="Z202" s="448"/>
      <c r="AA202" s="448">
        <f>+AB202+AC202</f>
        <v>442.49529999999999</v>
      </c>
      <c r="AB202" s="483">
        <f>428-5.5047</f>
        <v>422.49529999999999</v>
      </c>
      <c r="AC202" s="483">
        <v>20</v>
      </c>
      <c r="AD202" s="448"/>
      <c r="AE202" s="483"/>
      <c r="AF202" s="483"/>
      <c r="AG202" s="448"/>
      <c r="AH202" s="483"/>
      <c r="AI202" s="483"/>
      <c r="AJ202" s="448"/>
      <c r="AK202" s="448"/>
      <c r="AL202" s="145"/>
      <c r="AM202" s="369"/>
      <c r="AN202" s="369"/>
      <c r="AO202" s="369"/>
    </row>
    <row r="203" spans="1:41" s="146" customFormat="1" ht="60" hidden="1">
      <c r="A203" s="141">
        <v>5</v>
      </c>
      <c r="B203" s="337" t="s">
        <v>405</v>
      </c>
      <c r="C203" s="157" t="s">
        <v>406</v>
      </c>
      <c r="D203" s="157"/>
      <c r="E203" s="150" t="s">
        <v>407</v>
      </c>
      <c r="F203" s="158" t="s">
        <v>53</v>
      </c>
      <c r="G203" s="447">
        <f t="shared" si="157"/>
        <v>340</v>
      </c>
      <c r="H203" s="447">
        <v>325</v>
      </c>
      <c r="I203" s="447">
        <v>15</v>
      </c>
      <c r="J203" s="448">
        <v>0</v>
      </c>
      <c r="K203" s="483">
        <f t="shared" si="181"/>
        <v>0</v>
      </c>
      <c r="L203" s="448">
        <f t="shared" si="181"/>
        <v>0</v>
      </c>
      <c r="M203" s="448">
        <f t="shared" si="181"/>
        <v>0</v>
      </c>
      <c r="N203" s="483"/>
      <c r="O203" s="448"/>
      <c r="P203" s="448"/>
      <c r="Q203" s="466">
        <f t="shared" si="182"/>
        <v>340</v>
      </c>
      <c r="R203" s="448">
        <v>325</v>
      </c>
      <c r="S203" s="448">
        <v>15</v>
      </c>
      <c r="T203" s="448"/>
      <c r="U203" s="448">
        <f t="shared" si="183"/>
        <v>340</v>
      </c>
      <c r="V203" s="448">
        <f t="shared" si="184"/>
        <v>325</v>
      </c>
      <c r="W203" s="448">
        <f t="shared" si="184"/>
        <v>15</v>
      </c>
      <c r="X203" s="445">
        <f t="shared" si="158"/>
        <v>0</v>
      </c>
      <c r="Y203" s="448"/>
      <c r="Z203" s="448"/>
      <c r="AA203" s="448">
        <f t="shared" ref="AA203:AA207" si="186">+AB203+AC203</f>
        <v>340</v>
      </c>
      <c r="AB203" s="483">
        <v>325</v>
      </c>
      <c r="AC203" s="483">
        <v>15</v>
      </c>
      <c r="AD203" s="448"/>
      <c r="AE203" s="483"/>
      <c r="AF203" s="483"/>
      <c r="AG203" s="448"/>
      <c r="AH203" s="483"/>
      <c r="AI203" s="483"/>
      <c r="AJ203" s="448"/>
      <c r="AK203" s="448"/>
      <c r="AL203" s="145"/>
      <c r="AM203" s="369"/>
      <c r="AN203" s="369"/>
      <c r="AO203" s="369"/>
    </row>
    <row r="204" spans="1:41" s="146" customFormat="1" ht="30" hidden="1">
      <c r="A204" s="141">
        <v>6</v>
      </c>
      <c r="B204" s="337" t="s">
        <v>408</v>
      </c>
      <c r="C204" s="157" t="s">
        <v>409</v>
      </c>
      <c r="D204" s="157"/>
      <c r="E204" s="141" t="s">
        <v>806</v>
      </c>
      <c r="F204" s="158" t="s">
        <v>53</v>
      </c>
      <c r="G204" s="447">
        <f t="shared" si="157"/>
        <v>499</v>
      </c>
      <c r="H204" s="447">
        <v>475</v>
      </c>
      <c r="I204" s="447">
        <v>24</v>
      </c>
      <c r="J204" s="448">
        <v>0</v>
      </c>
      <c r="K204" s="483">
        <f>+L204+M204</f>
        <v>13</v>
      </c>
      <c r="L204" s="448">
        <f t="shared" si="181"/>
        <v>13</v>
      </c>
      <c r="M204" s="448"/>
      <c r="N204" s="483">
        <f>+O204+P204</f>
        <v>12.581299999999999</v>
      </c>
      <c r="O204" s="448"/>
      <c r="P204" s="448">
        <f>+S204-I204</f>
        <v>12.581299999999999</v>
      </c>
      <c r="Q204" s="466">
        <f t="shared" si="182"/>
        <v>498.5813</v>
      </c>
      <c r="R204" s="448">
        <v>462</v>
      </c>
      <c r="S204" s="448">
        <v>36.581299999999999</v>
      </c>
      <c r="T204" s="448"/>
      <c r="U204" s="448">
        <f t="shared" si="183"/>
        <v>498.5813</v>
      </c>
      <c r="V204" s="448">
        <f t="shared" si="184"/>
        <v>462</v>
      </c>
      <c r="W204" s="448">
        <f t="shared" si="184"/>
        <v>36.581299999999999</v>
      </c>
      <c r="X204" s="445">
        <f t="shared" si="158"/>
        <v>0</v>
      </c>
      <c r="Y204" s="448"/>
      <c r="Z204" s="448"/>
      <c r="AA204" s="448">
        <f t="shared" si="186"/>
        <v>180.38130000000001</v>
      </c>
      <c r="AB204" s="483">
        <v>161.30000000000001</v>
      </c>
      <c r="AC204" s="483">
        <f>19.51-0.4287</f>
        <v>19.081300000000002</v>
      </c>
      <c r="AD204" s="448">
        <f>+AE204+AF204</f>
        <v>318.2</v>
      </c>
      <c r="AE204" s="483">
        <v>300.7</v>
      </c>
      <c r="AF204" s="483">
        <v>17.5</v>
      </c>
      <c r="AG204" s="448"/>
      <c r="AH204" s="483"/>
      <c r="AI204" s="483"/>
      <c r="AJ204" s="448"/>
      <c r="AK204" s="448"/>
      <c r="AL204" s="145"/>
      <c r="AM204" s="369"/>
      <c r="AN204" s="369"/>
      <c r="AO204" s="369"/>
    </row>
    <row r="205" spans="1:41" s="146" customFormat="1" ht="60" hidden="1">
      <c r="A205" s="141">
        <v>7</v>
      </c>
      <c r="B205" s="337" t="s">
        <v>411</v>
      </c>
      <c r="C205" s="157" t="s">
        <v>412</v>
      </c>
      <c r="D205" s="157"/>
      <c r="E205" s="150" t="s">
        <v>413</v>
      </c>
      <c r="F205" s="158" t="s">
        <v>53</v>
      </c>
      <c r="G205" s="447">
        <f t="shared" si="157"/>
        <v>499</v>
      </c>
      <c r="H205" s="447">
        <v>475</v>
      </c>
      <c r="I205" s="447">
        <v>24</v>
      </c>
      <c r="J205" s="448">
        <v>0</v>
      </c>
      <c r="K205" s="483">
        <f t="shared" si="181"/>
        <v>0</v>
      </c>
      <c r="L205" s="448">
        <f t="shared" si="181"/>
        <v>0</v>
      </c>
      <c r="M205" s="448">
        <f t="shared" si="181"/>
        <v>0</v>
      </c>
      <c r="N205" s="483"/>
      <c r="O205" s="448"/>
      <c r="P205" s="448"/>
      <c r="Q205" s="466">
        <f t="shared" si="182"/>
        <v>499</v>
      </c>
      <c r="R205" s="448">
        <v>475</v>
      </c>
      <c r="S205" s="448">
        <v>24</v>
      </c>
      <c r="T205" s="448"/>
      <c r="U205" s="448">
        <f t="shared" si="183"/>
        <v>499</v>
      </c>
      <c r="V205" s="448">
        <f t="shared" si="184"/>
        <v>475</v>
      </c>
      <c r="W205" s="448">
        <f t="shared" si="184"/>
        <v>24</v>
      </c>
      <c r="X205" s="445">
        <f t="shared" si="158"/>
        <v>0</v>
      </c>
      <c r="Y205" s="448"/>
      <c r="Z205" s="448"/>
      <c r="AA205" s="448">
        <f t="shared" si="186"/>
        <v>499</v>
      </c>
      <c r="AB205" s="483">
        <v>475</v>
      </c>
      <c r="AC205" s="483">
        <v>24</v>
      </c>
      <c r="AD205" s="448"/>
      <c r="AE205" s="483"/>
      <c r="AF205" s="483"/>
      <c r="AG205" s="448"/>
      <c r="AH205" s="483"/>
      <c r="AI205" s="483"/>
      <c r="AJ205" s="448"/>
      <c r="AK205" s="448"/>
      <c r="AL205" s="145"/>
      <c r="AM205" s="369"/>
      <c r="AN205" s="369"/>
      <c r="AO205" s="369"/>
    </row>
    <row r="206" spans="1:41" s="146" customFormat="1" ht="75" hidden="1">
      <c r="A206" s="141">
        <v>8</v>
      </c>
      <c r="B206" s="337" t="s">
        <v>414</v>
      </c>
      <c r="C206" s="157" t="s">
        <v>415</v>
      </c>
      <c r="D206" s="157"/>
      <c r="E206" s="141" t="s">
        <v>208</v>
      </c>
      <c r="F206" s="158" t="s">
        <v>53</v>
      </c>
      <c r="G206" s="447">
        <f t="shared" si="157"/>
        <v>299</v>
      </c>
      <c r="H206" s="447">
        <v>285</v>
      </c>
      <c r="I206" s="447">
        <v>14</v>
      </c>
      <c r="J206" s="448">
        <v>0</v>
      </c>
      <c r="K206" s="483">
        <f t="shared" si="181"/>
        <v>0</v>
      </c>
      <c r="L206" s="448">
        <f t="shared" si="181"/>
        <v>0</v>
      </c>
      <c r="M206" s="448">
        <f t="shared" si="181"/>
        <v>0</v>
      </c>
      <c r="N206" s="483"/>
      <c r="O206" s="448"/>
      <c r="P206" s="448"/>
      <c r="Q206" s="466">
        <f t="shared" si="182"/>
        <v>299</v>
      </c>
      <c r="R206" s="448">
        <v>285</v>
      </c>
      <c r="S206" s="448">
        <v>14</v>
      </c>
      <c r="T206" s="448"/>
      <c r="U206" s="448">
        <f t="shared" si="183"/>
        <v>299</v>
      </c>
      <c r="V206" s="448">
        <f t="shared" si="184"/>
        <v>285</v>
      </c>
      <c r="W206" s="448">
        <f t="shared" si="184"/>
        <v>14</v>
      </c>
      <c r="X206" s="445">
        <f t="shared" si="158"/>
        <v>0</v>
      </c>
      <c r="Y206" s="448"/>
      <c r="Z206" s="448"/>
      <c r="AA206" s="448">
        <f t="shared" si="186"/>
        <v>299</v>
      </c>
      <c r="AB206" s="483">
        <v>285</v>
      </c>
      <c r="AC206" s="483">
        <v>14</v>
      </c>
      <c r="AD206" s="448"/>
      <c r="AE206" s="483"/>
      <c r="AF206" s="483"/>
      <c r="AG206" s="448"/>
      <c r="AH206" s="483"/>
      <c r="AI206" s="483"/>
      <c r="AJ206" s="448"/>
      <c r="AK206" s="448"/>
      <c r="AL206" s="145"/>
      <c r="AM206" s="369"/>
      <c r="AN206" s="369"/>
      <c r="AO206" s="369"/>
    </row>
    <row r="207" spans="1:41" s="146" customFormat="1" ht="60" hidden="1">
      <c r="A207" s="141">
        <v>9</v>
      </c>
      <c r="B207" s="337" t="s">
        <v>416</v>
      </c>
      <c r="C207" s="157" t="s">
        <v>401</v>
      </c>
      <c r="D207" s="157"/>
      <c r="E207" s="150" t="s">
        <v>417</v>
      </c>
      <c r="F207" s="158" t="s">
        <v>53</v>
      </c>
      <c r="G207" s="447">
        <f t="shared" si="157"/>
        <v>683</v>
      </c>
      <c r="H207" s="447">
        <v>650</v>
      </c>
      <c r="I207" s="447">
        <v>33</v>
      </c>
      <c r="J207" s="448">
        <v>0</v>
      </c>
      <c r="K207" s="546">
        <f>+L207+M207</f>
        <v>3.3999999993739038E-4</v>
      </c>
      <c r="L207" s="448">
        <f t="shared" si="181"/>
        <v>3.3999999993739038E-4</v>
      </c>
      <c r="M207" s="448"/>
      <c r="N207" s="546">
        <f>+O207+P207</f>
        <v>3.9000000000015689E-3</v>
      </c>
      <c r="O207" s="547"/>
      <c r="P207" s="547">
        <f>+S207-I207</f>
        <v>3.9000000000015689E-3</v>
      </c>
      <c r="Q207" s="466">
        <f t="shared" si="182"/>
        <v>683.00356000000011</v>
      </c>
      <c r="R207" s="448">
        <v>649.99966000000006</v>
      </c>
      <c r="S207" s="448">
        <v>33.003900000000002</v>
      </c>
      <c r="T207" s="448"/>
      <c r="U207" s="448">
        <f t="shared" si="183"/>
        <v>683.00356000000011</v>
      </c>
      <c r="V207" s="448">
        <f t="shared" si="184"/>
        <v>649.99966000000006</v>
      </c>
      <c r="W207" s="448">
        <f t="shared" si="184"/>
        <v>33.003900000000002</v>
      </c>
      <c r="X207" s="445">
        <f t="shared" si="158"/>
        <v>0</v>
      </c>
      <c r="Y207" s="448"/>
      <c r="Z207" s="448"/>
      <c r="AA207" s="448">
        <f t="shared" si="186"/>
        <v>468.28356000000002</v>
      </c>
      <c r="AB207" s="483">
        <f>338.75+108.28966</f>
        <v>447.03966000000003</v>
      </c>
      <c r="AC207" s="483">
        <f>14+7.2439</f>
        <v>21.2439</v>
      </c>
      <c r="AD207" s="448">
        <f>+AE207+AF207</f>
        <v>214.72</v>
      </c>
      <c r="AE207" s="483">
        <v>202.96</v>
      </c>
      <c r="AF207" s="483">
        <v>11.76</v>
      </c>
      <c r="AG207" s="448"/>
      <c r="AH207" s="483"/>
      <c r="AI207" s="483"/>
      <c r="AJ207" s="448"/>
      <c r="AK207" s="448"/>
      <c r="AL207" s="145"/>
      <c r="AM207" s="369"/>
      <c r="AN207" s="369"/>
      <c r="AO207" s="369"/>
    </row>
    <row r="208" spans="1:41" s="146" customFormat="1" ht="30" hidden="1">
      <c r="A208" s="141">
        <v>10</v>
      </c>
      <c r="B208" s="337" t="s">
        <v>418</v>
      </c>
      <c r="C208" s="157" t="s">
        <v>419</v>
      </c>
      <c r="D208" s="157"/>
      <c r="E208" s="141" t="s">
        <v>410</v>
      </c>
      <c r="F208" s="158" t="s">
        <v>54</v>
      </c>
      <c r="G208" s="447">
        <f t="shared" si="157"/>
        <v>499</v>
      </c>
      <c r="H208" s="447">
        <v>475</v>
      </c>
      <c r="I208" s="447">
        <v>24</v>
      </c>
      <c r="J208" s="448">
        <v>0</v>
      </c>
      <c r="K208" s="483">
        <f t="shared" si="181"/>
        <v>0</v>
      </c>
      <c r="L208" s="448">
        <f t="shared" si="181"/>
        <v>3.3999999999999773</v>
      </c>
      <c r="M208" s="448"/>
      <c r="N208" s="483">
        <f>+O208+P208</f>
        <v>3.3999999999999986</v>
      </c>
      <c r="O208" s="448"/>
      <c r="P208" s="448">
        <f>+S208-I208</f>
        <v>3.3999999999999986</v>
      </c>
      <c r="Q208" s="466">
        <f t="shared" si="182"/>
        <v>499</v>
      </c>
      <c r="R208" s="448">
        <v>471.6</v>
      </c>
      <c r="S208" s="448">
        <v>27.4</v>
      </c>
      <c r="T208" s="448"/>
      <c r="U208" s="448">
        <f t="shared" si="183"/>
        <v>499</v>
      </c>
      <c r="V208" s="448">
        <f t="shared" si="184"/>
        <v>471.6</v>
      </c>
      <c r="W208" s="448">
        <f t="shared" si="184"/>
        <v>27.4</v>
      </c>
      <c r="X208" s="445">
        <f t="shared" si="158"/>
        <v>0</v>
      </c>
      <c r="Y208" s="448"/>
      <c r="Z208" s="448"/>
      <c r="AA208" s="448"/>
      <c r="AB208" s="483"/>
      <c r="AC208" s="483"/>
      <c r="AD208" s="448">
        <f>+AE208+AF208</f>
        <v>499</v>
      </c>
      <c r="AE208" s="483">
        <v>471.6</v>
      </c>
      <c r="AF208" s="483">
        <v>27.4</v>
      </c>
      <c r="AG208" s="448"/>
      <c r="AH208" s="483"/>
      <c r="AI208" s="483"/>
      <c r="AJ208" s="448"/>
      <c r="AK208" s="448"/>
      <c r="AL208" s="145"/>
      <c r="AM208" s="369"/>
      <c r="AN208" s="369"/>
      <c r="AO208" s="369"/>
    </row>
    <row r="209" spans="1:41" s="146" customFormat="1" ht="60" hidden="1">
      <c r="A209" s="141">
        <v>14</v>
      </c>
      <c r="B209" s="337" t="s">
        <v>424</v>
      </c>
      <c r="C209" s="157" t="s">
        <v>419</v>
      </c>
      <c r="D209" s="157"/>
      <c r="E209" s="150" t="s">
        <v>413</v>
      </c>
      <c r="F209" s="158" t="s">
        <v>55</v>
      </c>
      <c r="G209" s="447">
        <f t="shared" si="157"/>
        <v>299</v>
      </c>
      <c r="H209" s="447">
        <v>285</v>
      </c>
      <c r="I209" s="447">
        <v>14</v>
      </c>
      <c r="J209" s="448">
        <v>0</v>
      </c>
      <c r="K209" s="483">
        <f t="shared" si="181"/>
        <v>0</v>
      </c>
      <c r="L209" s="448">
        <f t="shared" si="181"/>
        <v>2.3999999999999773</v>
      </c>
      <c r="M209" s="448"/>
      <c r="N209" s="483">
        <f>+O209+P209</f>
        <v>2.3999999999999986</v>
      </c>
      <c r="O209" s="448"/>
      <c r="P209" s="448">
        <f>+S209-I209</f>
        <v>2.3999999999999986</v>
      </c>
      <c r="Q209" s="466">
        <f t="shared" si="182"/>
        <v>299</v>
      </c>
      <c r="R209" s="448">
        <v>282.60000000000002</v>
      </c>
      <c r="S209" s="448">
        <v>16.399999999999999</v>
      </c>
      <c r="T209" s="448"/>
      <c r="U209" s="448">
        <f t="shared" si="183"/>
        <v>299</v>
      </c>
      <c r="V209" s="448">
        <f t="shared" si="184"/>
        <v>282.60000000000002</v>
      </c>
      <c r="W209" s="448">
        <f t="shared" si="184"/>
        <v>16.399999999999999</v>
      </c>
      <c r="X209" s="445">
        <f t="shared" si="158"/>
        <v>0</v>
      </c>
      <c r="Y209" s="448"/>
      <c r="Z209" s="448"/>
      <c r="AA209" s="448"/>
      <c r="AB209" s="483"/>
      <c r="AC209" s="483"/>
      <c r="AD209" s="448">
        <f>+AE209+AF209</f>
        <v>299</v>
      </c>
      <c r="AE209" s="483">
        <v>282.60000000000002</v>
      </c>
      <c r="AF209" s="483">
        <v>16.399999999999999</v>
      </c>
      <c r="AG209" s="448"/>
      <c r="AH209" s="483"/>
      <c r="AI209" s="483"/>
      <c r="AJ209" s="448"/>
      <c r="AK209" s="448"/>
      <c r="AL209" s="145"/>
      <c r="AM209" s="369"/>
      <c r="AN209" s="369"/>
      <c r="AO209" s="369"/>
    </row>
    <row r="210" spans="1:41" s="146" customFormat="1" ht="75" hidden="1">
      <c r="A210" s="141">
        <v>15</v>
      </c>
      <c r="B210" s="337" t="s">
        <v>425</v>
      </c>
      <c r="C210" s="157" t="s">
        <v>426</v>
      </c>
      <c r="D210" s="157"/>
      <c r="E210" s="141" t="s">
        <v>427</v>
      </c>
      <c r="F210" s="158" t="s">
        <v>55</v>
      </c>
      <c r="G210" s="447">
        <f t="shared" si="157"/>
        <v>200</v>
      </c>
      <c r="H210" s="447">
        <v>190</v>
      </c>
      <c r="I210" s="447">
        <v>10</v>
      </c>
      <c r="J210" s="448">
        <v>0</v>
      </c>
      <c r="K210" s="483">
        <f>+L210+M210</f>
        <v>0</v>
      </c>
      <c r="L210" s="448">
        <f t="shared" si="181"/>
        <v>0</v>
      </c>
      <c r="M210" s="448">
        <f t="shared" si="181"/>
        <v>0</v>
      </c>
      <c r="N210" s="483"/>
      <c r="O210" s="448"/>
      <c r="P210" s="448"/>
      <c r="Q210" s="466">
        <f>+R210+S210</f>
        <v>200</v>
      </c>
      <c r="R210" s="448">
        <v>190</v>
      </c>
      <c r="S210" s="448">
        <v>10</v>
      </c>
      <c r="T210" s="448"/>
      <c r="U210" s="448">
        <f t="shared" si="183"/>
        <v>152.07999999999998</v>
      </c>
      <c r="V210" s="448">
        <f t="shared" si="184"/>
        <v>143.63999999999999</v>
      </c>
      <c r="W210" s="448">
        <f t="shared" si="184"/>
        <v>8.44</v>
      </c>
      <c r="X210" s="445">
        <f t="shared" si="158"/>
        <v>0</v>
      </c>
      <c r="Y210" s="448"/>
      <c r="Z210" s="448"/>
      <c r="AA210" s="448"/>
      <c r="AB210" s="483"/>
      <c r="AC210" s="483"/>
      <c r="AD210" s="448">
        <f>+AE210+AF210</f>
        <v>152.07999999999998</v>
      </c>
      <c r="AE210" s="483">
        <v>143.63999999999999</v>
      </c>
      <c r="AF210" s="483">
        <v>8.44</v>
      </c>
      <c r="AG210" s="448">
        <f>+AH210+AI210</f>
        <v>47.92</v>
      </c>
      <c r="AH210" s="483">
        <v>46.36</v>
      </c>
      <c r="AI210" s="483">
        <v>1.56</v>
      </c>
      <c r="AJ210" s="448">
        <f>+AD210+AG210</f>
        <v>200</v>
      </c>
      <c r="AK210" s="448">
        <f t="shared" ref="AK210:AL210" si="187">+AE210+AH210</f>
        <v>190</v>
      </c>
      <c r="AL210" s="448">
        <f t="shared" si="187"/>
        <v>10</v>
      </c>
      <c r="AM210" s="369"/>
      <c r="AN210" s="369"/>
      <c r="AO210" s="369"/>
    </row>
    <row r="211" spans="1:41" s="146" customFormat="1" ht="75" hidden="1">
      <c r="A211" s="141">
        <v>16</v>
      </c>
      <c r="B211" s="338" t="s">
        <v>805</v>
      </c>
      <c r="C211" s="157" t="s">
        <v>428</v>
      </c>
      <c r="D211" s="157"/>
      <c r="E211" s="141" t="s">
        <v>128</v>
      </c>
      <c r="F211" s="158" t="s">
        <v>55</v>
      </c>
      <c r="G211" s="447">
        <f t="shared" si="157"/>
        <v>1000</v>
      </c>
      <c r="H211" s="447">
        <v>952</v>
      </c>
      <c r="I211" s="447">
        <v>48</v>
      </c>
      <c r="J211" s="448">
        <v>0</v>
      </c>
      <c r="K211" s="483">
        <f>+L211+M211</f>
        <v>7</v>
      </c>
      <c r="L211" s="448">
        <f t="shared" si="181"/>
        <v>7</v>
      </c>
      <c r="M211" s="448"/>
      <c r="N211" s="483">
        <f>+O211+P211</f>
        <v>7</v>
      </c>
      <c r="O211" s="448"/>
      <c r="P211" s="448">
        <f>+S211-I211</f>
        <v>7</v>
      </c>
      <c r="Q211" s="466">
        <f t="shared" si="182"/>
        <v>1000</v>
      </c>
      <c r="R211" s="448">
        <v>945</v>
      </c>
      <c r="S211" s="448">
        <v>55</v>
      </c>
      <c r="T211" s="448"/>
      <c r="U211" s="448">
        <f t="shared" si="183"/>
        <v>1000</v>
      </c>
      <c r="V211" s="448">
        <f t="shared" si="184"/>
        <v>945</v>
      </c>
      <c r="W211" s="448">
        <f t="shared" si="184"/>
        <v>55</v>
      </c>
      <c r="X211" s="445">
        <f t="shared" si="158"/>
        <v>0</v>
      </c>
      <c r="Y211" s="448"/>
      <c r="Z211" s="448"/>
      <c r="AA211" s="448"/>
      <c r="AB211" s="483"/>
      <c r="AC211" s="483"/>
      <c r="AD211" s="448">
        <f>+AE211+AF211</f>
        <v>1000</v>
      </c>
      <c r="AE211" s="483">
        <v>945</v>
      </c>
      <c r="AF211" s="483">
        <v>55</v>
      </c>
      <c r="AG211" s="448"/>
      <c r="AH211" s="483"/>
      <c r="AI211" s="483"/>
      <c r="AJ211" s="448"/>
      <c r="AK211" s="448"/>
      <c r="AL211" s="145"/>
      <c r="AM211" s="369"/>
      <c r="AN211" s="369"/>
      <c r="AO211" s="369"/>
    </row>
    <row r="212" spans="1:41" s="146" customFormat="1" ht="60" hidden="1">
      <c r="A212" s="141">
        <v>11</v>
      </c>
      <c r="B212" s="337" t="s">
        <v>420</v>
      </c>
      <c r="C212" s="157" t="s">
        <v>395</v>
      </c>
      <c r="D212" s="157"/>
      <c r="E212" s="150" t="s">
        <v>421</v>
      </c>
      <c r="F212" s="158" t="s">
        <v>54</v>
      </c>
      <c r="G212" s="447">
        <f>H212+I212</f>
        <v>1998</v>
      </c>
      <c r="H212" s="447">
        <v>1903</v>
      </c>
      <c r="I212" s="447">
        <v>95</v>
      </c>
      <c r="J212" s="448">
        <v>0</v>
      </c>
      <c r="K212" s="483">
        <f>+L212+M212</f>
        <v>20.324100000000001</v>
      </c>
      <c r="L212" s="448"/>
      <c r="M212" s="448">
        <f t="shared" si="181"/>
        <v>20.324100000000001</v>
      </c>
      <c r="N212" s="483">
        <f>+O212+P212</f>
        <v>31.305039999999963</v>
      </c>
      <c r="O212" s="448">
        <f>+R212-H212</f>
        <v>31.305039999999963</v>
      </c>
      <c r="P212" s="448"/>
      <c r="Q212" s="466">
        <f t="shared" si="182"/>
        <v>2008.9809399999999</v>
      </c>
      <c r="R212" s="448">
        <v>1934.30504</v>
      </c>
      <c r="S212" s="448">
        <v>74.675899999999999</v>
      </c>
      <c r="T212" s="448"/>
      <c r="U212" s="448">
        <f>+V212+W212</f>
        <v>0</v>
      </c>
      <c r="V212" s="448">
        <f t="shared" si="184"/>
        <v>0</v>
      </c>
      <c r="W212" s="448">
        <f t="shared" si="184"/>
        <v>0</v>
      </c>
      <c r="X212" s="445">
        <f>Y212+Z212</f>
        <v>0</v>
      </c>
      <c r="Y212" s="448"/>
      <c r="Z212" s="448"/>
      <c r="AA212" s="448"/>
      <c r="AB212" s="483"/>
      <c r="AC212" s="483"/>
      <c r="AD212" s="448"/>
      <c r="AE212" s="483"/>
      <c r="AF212" s="483"/>
      <c r="AG212" s="447">
        <f t="shared" ref="AG212:AG217" si="188">AH212+AI212</f>
        <v>2008.9809399999999</v>
      </c>
      <c r="AH212" s="447">
        <v>1934.30504</v>
      </c>
      <c r="AI212" s="447">
        <v>74.675899999999999</v>
      </c>
      <c r="AJ212" s="448"/>
      <c r="AK212" s="448"/>
      <c r="AL212" s="145"/>
      <c r="AM212" s="369"/>
      <c r="AN212" s="369"/>
      <c r="AO212" s="369"/>
    </row>
    <row r="213" spans="1:41" s="146" customFormat="1" ht="30" hidden="1">
      <c r="A213" s="141">
        <v>12</v>
      </c>
      <c r="B213" s="337" t="s">
        <v>422</v>
      </c>
      <c r="C213" s="157" t="s">
        <v>412</v>
      </c>
      <c r="D213" s="157"/>
      <c r="E213" s="141"/>
      <c r="F213" s="158" t="s">
        <v>54</v>
      </c>
      <c r="G213" s="447">
        <f>H213+I213</f>
        <v>250</v>
      </c>
      <c r="H213" s="447">
        <v>238</v>
      </c>
      <c r="I213" s="447">
        <v>12</v>
      </c>
      <c r="J213" s="448">
        <v>0</v>
      </c>
      <c r="K213" s="483">
        <f t="shared" si="181"/>
        <v>0</v>
      </c>
      <c r="L213" s="448">
        <f t="shared" si="181"/>
        <v>0</v>
      </c>
      <c r="M213" s="448">
        <f t="shared" si="181"/>
        <v>0</v>
      </c>
      <c r="N213" s="483"/>
      <c r="O213" s="448"/>
      <c r="P213" s="448"/>
      <c r="Q213" s="466">
        <f t="shared" si="182"/>
        <v>250</v>
      </c>
      <c r="R213" s="448">
        <v>238</v>
      </c>
      <c r="S213" s="448">
        <v>12</v>
      </c>
      <c r="T213" s="448"/>
      <c r="U213" s="448">
        <f>+V213+W213</f>
        <v>0</v>
      </c>
      <c r="V213" s="448">
        <f t="shared" si="184"/>
        <v>0</v>
      </c>
      <c r="W213" s="448">
        <f t="shared" si="184"/>
        <v>0</v>
      </c>
      <c r="X213" s="445">
        <f>Y213+Z213</f>
        <v>0</v>
      </c>
      <c r="Y213" s="448"/>
      <c r="Z213" s="448"/>
      <c r="AA213" s="448"/>
      <c r="AB213" s="483"/>
      <c r="AC213" s="483"/>
      <c r="AD213" s="448"/>
      <c r="AE213" s="483"/>
      <c r="AF213" s="483"/>
      <c r="AG213" s="447">
        <f t="shared" si="188"/>
        <v>250</v>
      </c>
      <c r="AH213" s="447">
        <v>238</v>
      </c>
      <c r="AI213" s="447">
        <v>12</v>
      </c>
      <c r="AJ213" s="448"/>
      <c r="AK213" s="448"/>
      <c r="AL213" s="145"/>
      <c r="AM213" s="369"/>
      <c r="AN213" s="369"/>
      <c r="AO213" s="369"/>
    </row>
    <row r="214" spans="1:41" s="146" customFormat="1" ht="75" hidden="1">
      <c r="A214" s="141">
        <v>13</v>
      </c>
      <c r="B214" s="337" t="s">
        <v>423</v>
      </c>
      <c r="C214" s="157" t="s">
        <v>406</v>
      </c>
      <c r="D214" s="157"/>
      <c r="E214" s="141" t="s">
        <v>94</v>
      </c>
      <c r="F214" s="158" t="s">
        <v>55</v>
      </c>
      <c r="G214" s="447">
        <f>H214+I214</f>
        <v>251</v>
      </c>
      <c r="H214" s="447">
        <v>239</v>
      </c>
      <c r="I214" s="447">
        <v>12</v>
      </c>
      <c r="J214" s="448">
        <v>0</v>
      </c>
      <c r="K214" s="483">
        <f t="shared" si="181"/>
        <v>0</v>
      </c>
      <c r="L214" s="448">
        <f t="shared" si="181"/>
        <v>0</v>
      </c>
      <c r="M214" s="448">
        <f t="shared" si="181"/>
        <v>0</v>
      </c>
      <c r="N214" s="483"/>
      <c r="O214" s="448"/>
      <c r="P214" s="448"/>
      <c r="Q214" s="466">
        <f t="shared" si="182"/>
        <v>251</v>
      </c>
      <c r="R214" s="448">
        <v>239</v>
      </c>
      <c r="S214" s="448">
        <v>12</v>
      </c>
      <c r="T214" s="448"/>
      <c r="U214" s="448">
        <f>+V214+W214</f>
        <v>0</v>
      </c>
      <c r="V214" s="448">
        <f t="shared" si="184"/>
        <v>0</v>
      </c>
      <c r="W214" s="448">
        <f t="shared" si="184"/>
        <v>0</v>
      </c>
      <c r="X214" s="445">
        <f>Y214+Z214</f>
        <v>0</v>
      </c>
      <c r="Y214" s="448"/>
      <c r="Z214" s="448"/>
      <c r="AA214" s="448"/>
      <c r="AB214" s="483"/>
      <c r="AC214" s="483"/>
      <c r="AD214" s="448"/>
      <c r="AE214" s="483"/>
      <c r="AF214" s="483"/>
      <c r="AG214" s="447">
        <f t="shared" si="188"/>
        <v>251</v>
      </c>
      <c r="AH214" s="447">
        <v>239</v>
      </c>
      <c r="AI214" s="447">
        <v>12</v>
      </c>
      <c r="AJ214" s="448"/>
      <c r="AK214" s="448"/>
      <c r="AL214" s="145"/>
      <c r="AM214" s="369"/>
      <c r="AN214" s="369"/>
      <c r="AO214" s="369"/>
    </row>
    <row r="215" spans="1:41" s="146" customFormat="1" ht="45" hidden="1">
      <c r="A215" s="141">
        <v>17</v>
      </c>
      <c r="B215" s="337" t="s">
        <v>429</v>
      </c>
      <c r="C215" s="157" t="s">
        <v>395</v>
      </c>
      <c r="D215" s="157"/>
      <c r="E215" s="141" t="s">
        <v>430</v>
      </c>
      <c r="F215" s="158" t="s">
        <v>55</v>
      </c>
      <c r="G215" s="447">
        <f t="shared" si="157"/>
        <v>200</v>
      </c>
      <c r="H215" s="447">
        <v>190</v>
      </c>
      <c r="I215" s="447">
        <v>10</v>
      </c>
      <c r="J215" s="448">
        <v>0</v>
      </c>
      <c r="K215" s="483">
        <f t="shared" si="181"/>
        <v>0</v>
      </c>
      <c r="L215" s="448">
        <f t="shared" si="181"/>
        <v>0</v>
      </c>
      <c r="M215" s="448">
        <f t="shared" si="181"/>
        <v>0</v>
      </c>
      <c r="N215" s="483"/>
      <c r="O215" s="448"/>
      <c r="P215" s="448"/>
      <c r="Q215" s="466">
        <f t="shared" si="182"/>
        <v>200</v>
      </c>
      <c r="R215" s="448">
        <v>190</v>
      </c>
      <c r="S215" s="448">
        <v>10</v>
      </c>
      <c r="T215" s="448"/>
      <c r="U215" s="448">
        <f t="shared" si="183"/>
        <v>0</v>
      </c>
      <c r="V215" s="448">
        <f t="shared" si="184"/>
        <v>0</v>
      </c>
      <c r="W215" s="448">
        <f t="shared" si="184"/>
        <v>0</v>
      </c>
      <c r="X215" s="445">
        <f t="shared" si="158"/>
        <v>0</v>
      </c>
      <c r="Y215" s="448"/>
      <c r="Z215" s="448"/>
      <c r="AA215" s="448"/>
      <c r="AB215" s="483"/>
      <c r="AC215" s="483"/>
      <c r="AD215" s="448"/>
      <c r="AE215" s="483"/>
      <c r="AF215" s="483"/>
      <c r="AG215" s="447">
        <f t="shared" si="188"/>
        <v>200</v>
      </c>
      <c r="AH215" s="447">
        <v>190</v>
      </c>
      <c r="AI215" s="447">
        <v>10</v>
      </c>
      <c r="AJ215" s="448"/>
      <c r="AK215" s="448"/>
      <c r="AL215" s="145"/>
      <c r="AM215" s="369"/>
      <c r="AN215" s="369"/>
      <c r="AO215" s="369"/>
    </row>
    <row r="216" spans="1:41" s="146" customFormat="1" ht="75" hidden="1">
      <c r="A216" s="141">
        <v>18</v>
      </c>
      <c r="B216" s="337" t="s">
        <v>431</v>
      </c>
      <c r="C216" s="157" t="s">
        <v>426</v>
      </c>
      <c r="D216" s="157"/>
      <c r="E216" s="141" t="s">
        <v>94</v>
      </c>
      <c r="F216" s="158" t="s">
        <v>55</v>
      </c>
      <c r="G216" s="447">
        <f t="shared" si="157"/>
        <v>251</v>
      </c>
      <c r="H216" s="447">
        <v>239</v>
      </c>
      <c r="I216" s="447">
        <v>12</v>
      </c>
      <c r="J216" s="448">
        <v>0</v>
      </c>
      <c r="K216" s="483">
        <f t="shared" si="181"/>
        <v>0</v>
      </c>
      <c r="L216" s="448">
        <f t="shared" si="181"/>
        <v>0</v>
      </c>
      <c r="M216" s="448">
        <f t="shared" si="181"/>
        <v>0</v>
      </c>
      <c r="N216" s="483"/>
      <c r="O216" s="448"/>
      <c r="P216" s="448"/>
      <c r="Q216" s="466">
        <f t="shared" si="182"/>
        <v>251</v>
      </c>
      <c r="R216" s="448">
        <v>239</v>
      </c>
      <c r="S216" s="448">
        <v>12</v>
      </c>
      <c r="T216" s="448"/>
      <c r="U216" s="448">
        <f t="shared" si="183"/>
        <v>0</v>
      </c>
      <c r="V216" s="448">
        <f t="shared" si="184"/>
        <v>0</v>
      </c>
      <c r="W216" s="448">
        <f t="shared" si="184"/>
        <v>0</v>
      </c>
      <c r="X216" s="445">
        <f t="shared" si="158"/>
        <v>0</v>
      </c>
      <c r="Y216" s="448"/>
      <c r="Z216" s="448"/>
      <c r="AA216" s="448"/>
      <c r="AB216" s="483"/>
      <c r="AC216" s="483"/>
      <c r="AD216" s="448"/>
      <c r="AE216" s="483"/>
      <c r="AF216" s="483"/>
      <c r="AG216" s="447">
        <f t="shared" si="188"/>
        <v>251</v>
      </c>
      <c r="AH216" s="447">
        <v>239</v>
      </c>
      <c r="AI216" s="447">
        <v>12</v>
      </c>
      <c r="AJ216" s="448"/>
      <c r="AK216" s="448"/>
      <c r="AL216" s="145"/>
      <c r="AM216" s="369"/>
      <c r="AN216" s="369"/>
      <c r="AO216" s="369"/>
    </row>
    <row r="217" spans="1:41" s="146" customFormat="1" ht="75" hidden="1">
      <c r="A217" s="141">
        <v>19</v>
      </c>
      <c r="B217" s="337" t="s">
        <v>432</v>
      </c>
      <c r="C217" s="157" t="s">
        <v>428</v>
      </c>
      <c r="D217" s="157"/>
      <c r="E217" s="141" t="s">
        <v>94</v>
      </c>
      <c r="F217" s="158" t="s">
        <v>55</v>
      </c>
      <c r="G217" s="447">
        <f t="shared" si="157"/>
        <v>250.95</v>
      </c>
      <c r="H217" s="447">
        <v>238.95</v>
      </c>
      <c r="I217" s="447">
        <v>12</v>
      </c>
      <c r="J217" s="448">
        <v>0</v>
      </c>
      <c r="K217" s="483">
        <f t="shared" si="181"/>
        <v>0</v>
      </c>
      <c r="L217" s="448">
        <f t="shared" si="181"/>
        <v>0</v>
      </c>
      <c r="M217" s="448">
        <f t="shared" si="181"/>
        <v>0</v>
      </c>
      <c r="N217" s="483"/>
      <c r="O217" s="448"/>
      <c r="P217" s="448"/>
      <c r="Q217" s="466">
        <f t="shared" si="182"/>
        <v>250.95</v>
      </c>
      <c r="R217" s="448">
        <v>238.95</v>
      </c>
      <c r="S217" s="448">
        <v>12</v>
      </c>
      <c r="T217" s="448"/>
      <c r="U217" s="448">
        <f t="shared" si="183"/>
        <v>0</v>
      </c>
      <c r="V217" s="448">
        <f t="shared" si="184"/>
        <v>0</v>
      </c>
      <c r="W217" s="448">
        <f t="shared" si="184"/>
        <v>0</v>
      </c>
      <c r="X217" s="445">
        <f t="shared" si="158"/>
        <v>0</v>
      </c>
      <c r="Y217" s="448"/>
      <c r="Z217" s="448"/>
      <c r="AA217" s="448"/>
      <c r="AB217" s="483"/>
      <c r="AC217" s="483"/>
      <c r="AD217" s="448"/>
      <c r="AE217" s="483"/>
      <c r="AF217" s="483"/>
      <c r="AG217" s="447">
        <f t="shared" si="188"/>
        <v>250.95</v>
      </c>
      <c r="AH217" s="447">
        <v>238.95</v>
      </c>
      <c r="AI217" s="447">
        <v>12</v>
      </c>
      <c r="AJ217" s="448"/>
      <c r="AK217" s="448"/>
      <c r="AL217" s="145"/>
      <c r="AM217" s="369"/>
      <c r="AN217" s="369"/>
      <c r="AO217" s="369"/>
    </row>
    <row r="218" spans="1:41" s="14" customFormat="1" ht="23.25" customHeight="1">
      <c r="A218" s="4" t="s">
        <v>1000</v>
      </c>
      <c r="B218" s="509" t="s">
        <v>434</v>
      </c>
      <c r="C218" s="418"/>
      <c r="D218" s="418"/>
      <c r="E218" s="417">
        <v>0</v>
      </c>
      <c r="F218" s="417"/>
      <c r="G218" s="446">
        <f>SUM(G219:G222)</f>
        <v>1504.2799999999997</v>
      </c>
      <c r="H218" s="446">
        <f>SUM(H219:H222)</f>
        <v>1432.65</v>
      </c>
      <c r="I218" s="446">
        <f>SUM(I219:I222)</f>
        <v>71.63</v>
      </c>
      <c r="J218" s="446">
        <f>SUM(J219:J222)</f>
        <v>0</v>
      </c>
      <c r="K218" s="446">
        <f t="shared" ref="K218:AI218" si="189">SUM(K219:K222)</f>
        <v>58.240000000000023</v>
      </c>
      <c r="L218" s="446">
        <f t="shared" si="189"/>
        <v>55.100000000000023</v>
      </c>
      <c r="M218" s="446">
        <f t="shared" si="189"/>
        <v>3.139999999999997</v>
      </c>
      <c r="N218" s="446">
        <f t="shared" si="189"/>
        <v>58.240000000000023</v>
      </c>
      <c r="O218" s="446">
        <f t="shared" si="189"/>
        <v>55.100000000000023</v>
      </c>
      <c r="P218" s="446">
        <f t="shared" si="189"/>
        <v>3.1400000000000006</v>
      </c>
      <c r="Q218" s="446">
        <f t="shared" si="189"/>
        <v>1504.2800000000002</v>
      </c>
      <c r="R218" s="446">
        <f t="shared" si="189"/>
        <v>1432.65</v>
      </c>
      <c r="S218" s="446">
        <f t="shared" si="189"/>
        <v>71.63000000000001</v>
      </c>
      <c r="T218" s="446">
        <f t="shared" si="189"/>
        <v>0</v>
      </c>
      <c r="U218" s="446">
        <f t="shared" si="189"/>
        <v>1004.4000000000001</v>
      </c>
      <c r="V218" s="446">
        <f t="shared" si="189"/>
        <v>952.53</v>
      </c>
      <c r="W218" s="446">
        <f t="shared" si="189"/>
        <v>51.870000000000005</v>
      </c>
      <c r="X218" s="446">
        <f t="shared" si="189"/>
        <v>270.74</v>
      </c>
      <c r="Y218" s="446">
        <f t="shared" si="189"/>
        <v>257.85000000000002</v>
      </c>
      <c r="Z218" s="446">
        <f t="shared" si="189"/>
        <v>12.89</v>
      </c>
      <c r="AA218" s="446">
        <f t="shared" si="189"/>
        <v>364.36</v>
      </c>
      <c r="AB218" s="446">
        <f t="shared" si="189"/>
        <v>345.68</v>
      </c>
      <c r="AC218" s="446">
        <f t="shared" si="189"/>
        <v>18.68</v>
      </c>
      <c r="AD218" s="446">
        <f t="shared" si="189"/>
        <v>369.3</v>
      </c>
      <c r="AE218" s="446">
        <f t="shared" si="189"/>
        <v>349</v>
      </c>
      <c r="AF218" s="446">
        <f t="shared" si="189"/>
        <v>20.3</v>
      </c>
      <c r="AG218" s="446">
        <f t="shared" si="189"/>
        <v>499.88</v>
      </c>
      <c r="AH218" s="446">
        <f t="shared" si="189"/>
        <v>480.12</v>
      </c>
      <c r="AI218" s="446">
        <f t="shared" si="189"/>
        <v>19.760000000000002</v>
      </c>
      <c r="AJ218" s="446"/>
      <c r="AK218" s="446">
        <f>SUM(AK219:AK222)</f>
        <v>0</v>
      </c>
      <c r="AL218" s="16"/>
      <c r="AM218" s="368">
        <f>+'NĂM 2022'!K71+'NĂM 2023'!N86+'NĂM 2024'!J78+'NĂM 2025'!J75</f>
        <v>1504.28</v>
      </c>
      <c r="AN218" s="368">
        <f>+'NĂM 2022'!L71+'NĂM 2023'!O86+'NĂM 2024'!K78+'NĂM 2025'!K75</f>
        <v>1432.65</v>
      </c>
      <c r="AO218" s="368">
        <f>+'NĂM 2022'!M71+'NĂM 2023'!P86+'NĂM 2024'!L78+'NĂM 2025'!L75</f>
        <v>71.63</v>
      </c>
    </row>
    <row r="219" spans="1:41" ht="75" hidden="1">
      <c r="A219" s="8">
        <v>1</v>
      </c>
      <c r="B219" s="328" t="s">
        <v>435</v>
      </c>
      <c r="C219" s="8" t="s">
        <v>436</v>
      </c>
      <c r="D219" s="8"/>
      <c r="E219" s="8" t="s">
        <v>437</v>
      </c>
      <c r="F219" s="27" t="s">
        <v>52</v>
      </c>
      <c r="G219" s="445">
        <f t="shared" si="157"/>
        <v>270.74</v>
      </c>
      <c r="H219" s="445">
        <v>257.85000000000002</v>
      </c>
      <c r="I219" s="445">
        <v>12.89</v>
      </c>
      <c r="J219" s="451">
        <v>0</v>
      </c>
      <c r="K219" s="483">
        <f>+G219-Q219</f>
        <v>0</v>
      </c>
      <c r="L219" s="451"/>
      <c r="M219" s="451"/>
      <c r="N219" s="483"/>
      <c r="O219" s="451"/>
      <c r="P219" s="451"/>
      <c r="Q219" s="466">
        <f>+R219+S219</f>
        <v>270.74</v>
      </c>
      <c r="R219" s="451">
        <v>257.85000000000002</v>
      </c>
      <c r="S219" s="451">
        <v>12.89</v>
      </c>
      <c r="T219" s="451"/>
      <c r="U219" s="451">
        <f>+V219+W219</f>
        <v>270.74</v>
      </c>
      <c r="V219" s="451">
        <f>+Y219+AB219+AE219</f>
        <v>257.85000000000002</v>
      </c>
      <c r="W219" s="451">
        <f>+Z219+AC219+AF219</f>
        <v>12.89</v>
      </c>
      <c r="X219" s="445">
        <f t="shared" si="158"/>
        <v>270.74</v>
      </c>
      <c r="Y219" s="445">
        <v>257.85000000000002</v>
      </c>
      <c r="Z219" s="445">
        <v>12.89</v>
      </c>
      <c r="AA219" s="445"/>
      <c r="AB219" s="481"/>
      <c r="AC219" s="481"/>
      <c r="AD219" s="445"/>
      <c r="AE219" s="481"/>
      <c r="AF219" s="481"/>
      <c r="AG219" s="445"/>
      <c r="AH219" s="481"/>
      <c r="AI219" s="481"/>
      <c r="AJ219" s="445"/>
      <c r="AK219" s="451"/>
      <c r="AL219" s="15"/>
      <c r="AM219" s="506">
        <f>+G218-U218</f>
        <v>499.87999999999965</v>
      </c>
      <c r="AN219" s="506">
        <f>+H218-V218</f>
        <v>480.12000000000012</v>
      </c>
      <c r="AO219" s="506">
        <f>+I218-W218</f>
        <v>19.759999999999991</v>
      </c>
    </row>
    <row r="220" spans="1:41" ht="75" hidden="1">
      <c r="A220" s="8">
        <f>+A219+1</f>
        <v>2</v>
      </c>
      <c r="B220" s="328" t="s">
        <v>435</v>
      </c>
      <c r="C220" s="8" t="s">
        <v>436</v>
      </c>
      <c r="D220" s="8"/>
      <c r="E220" s="8" t="s">
        <v>437</v>
      </c>
      <c r="F220" s="8" t="s">
        <v>53</v>
      </c>
      <c r="G220" s="445">
        <f t="shared" si="157"/>
        <v>328.34</v>
      </c>
      <c r="H220" s="445">
        <v>312.7</v>
      </c>
      <c r="I220" s="445">
        <v>15.64</v>
      </c>
      <c r="J220" s="451">
        <v>0</v>
      </c>
      <c r="K220" s="483"/>
      <c r="L220" s="451"/>
      <c r="M220" s="451"/>
      <c r="N220" s="483">
        <f>+O220+P220</f>
        <v>36.020000000000017</v>
      </c>
      <c r="O220" s="451">
        <f>+R220-H220</f>
        <v>32.980000000000018</v>
      </c>
      <c r="P220" s="451">
        <f>+S220-I220</f>
        <v>3.0399999999999991</v>
      </c>
      <c r="Q220" s="466">
        <f t="shared" ref="Q220:Q221" si="190">+R220+S220</f>
        <v>364.36</v>
      </c>
      <c r="R220" s="451">
        <v>345.68</v>
      </c>
      <c r="S220" s="451">
        <v>18.68</v>
      </c>
      <c r="T220" s="451"/>
      <c r="U220" s="451">
        <f t="shared" ref="U220:U222" si="191">+V220+W220</f>
        <v>364.36</v>
      </c>
      <c r="V220" s="451">
        <f t="shared" ref="V220:W222" si="192">+Y220+AB220+AE220</f>
        <v>345.68</v>
      </c>
      <c r="W220" s="451">
        <f t="shared" si="192"/>
        <v>18.68</v>
      </c>
      <c r="X220" s="445">
        <f t="shared" si="158"/>
        <v>0</v>
      </c>
      <c r="Y220" s="451"/>
      <c r="Z220" s="451"/>
      <c r="AA220" s="451">
        <f>+AB220+AC220</f>
        <v>364.36</v>
      </c>
      <c r="AB220" s="483">
        <v>345.68</v>
      </c>
      <c r="AC220" s="483">
        <v>18.68</v>
      </c>
      <c r="AD220" s="451"/>
      <c r="AE220" s="483"/>
      <c r="AF220" s="483"/>
      <c r="AG220" s="451"/>
      <c r="AH220" s="483"/>
      <c r="AI220" s="483"/>
      <c r="AJ220" s="451"/>
      <c r="AK220" s="451"/>
      <c r="AL220" s="15"/>
      <c r="AM220" s="506">
        <f>+AM219-AG218</f>
        <v>0</v>
      </c>
      <c r="AN220" s="506">
        <f t="shared" ref="AN220:AO220" si="193">+AN219-AH218</f>
        <v>0</v>
      </c>
      <c r="AO220" s="506">
        <f t="shared" si="193"/>
        <v>0</v>
      </c>
    </row>
    <row r="221" spans="1:41" ht="30" hidden="1">
      <c r="A221" s="8">
        <f t="shared" ref="A221:A222" si="194">+A220+1</f>
        <v>3</v>
      </c>
      <c r="B221" s="328" t="s">
        <v>440</v>
      </c>
      <c r="C221" s="8" t="s">
        <v>436</v>
      </c>
      <c r="D221" s="8"/>
      <c r="E221" s="8" t="s">
        <v>441</v>
      </c>
      <c r="F221" s="8" t="s">
        <v>55</v>
      </c>
      <c r="G221" s="445">
        <f>H221+I221</f>
        <v>424.3</v>
      </c>
      <c r="H221" s="445">
        <v>404.1</v>
      </c>
      <c r="I221" s="445">
        <v>20.2</v>
      </c>
      <c r="J221" s="451">
        <v>0</v>
      </c>
      <c r="K221" s="483">
        <f>+L221+M221</f>
        <v>55.100000000000023</v>
      </c>
      <c r="L221" s="451">
        <f>+H221-R221</f>
        <v>55.100000000000023</v>
      </c>
      <c r="M221" s="451"/>
      <c r="N221" s="483">
        <f>+O221+P221</f>
        <v>0.10000000000000142</v>
      </c>
      <c r="O221" s="451"/>
      <c r="P221" s="451">
        <f>+S221-I221</f>
        <v>0.10000000000000142</v>
      </c>
      <c r="Q221" s="466">
        <f t="shared" si="190"/>
        <v>369.3</v>
      </c>
      <c r="R221" s="451">
        <v>349</v>
      </c>
      <c r="S221" s="451">
        <v>20.3</v>
      </c>
      <c r="T221" s="451"/>
      <c r="U221" s="451">
        <f>+V221+W221</f>
        <v>369.3</v>
      </c>
      <c r="V221" s="451">
        <f>+Y221+AB221+AE221</f>
        <v>349</v>
      </c>
      <c r="W221" s="451">
        <f>+Z221+AC221+AF221</f>
        <v>20.3</v>
      </c>
      <c r="X221" s="445">
        <f>Y221+Z221</f>
        <v>0</v>
      </c>
      <c r="Y221" s="451"/>
      <c r="Z221" s="451"/>
      <c r="AA221" s="451"/>
      <c r="AB221" s="483"/>
      <c r="AC221" s="483"/>
      <c r="AD221" s="451">
        <f>+AE221+AF221</f>
        <v>369.3</v>
      </c>
      <c r="AE221" s="483">
        <v>349</v>
      </c>
      <c r="AF221" s="483">
        <v>20.3</v>
      </c>
      <c r="AG221" s="451"/>
      <c r="AH221" s="483"/>
      <c r="AI221" s="483"/>
      <c r="AJ221" s="451"/>
      <c r="AK221" s="451"/>
      <c r="AL221" s="15"/>
      <c r="AM221" s="506"/>
      <c r="AN221" s="506"/>
      <c r="AO221" s="506"/>
    </row>
    <row r="222" spans="1:41" ht="45" hidden="1">
      <c r="A222" s="8">
        <f t="shared" si="194"/>
        <v>4</v>
      </c>
      <c r="B222" s="340" t="s">
        <v>438</v>
      </c>
      <c r="C222" s="8" t="s">
        <v>436</v>
      </c>
      <c r="D222" s="8"/>
      <c r="E222" s="8" t="s">
        <v>439</v>
      </c>
      <c r="F222" s="8" t="s">
        <v>54</v>
      </c>
      <c r="G222" s="445">
        <f t="shared" si="157"/>
        <v>480.9</v>
      </c>
      <c r="H222" s="445">
        <v>458</v>
      </c>
      <c r="I222" s="445">
        <v>22.9</v>
      </c>
      <c r="J222" s="451">
        <v>0</v>
      </c>
      <c r="K222" s="483">
        <f>+L222+M222</f>
        <v>3.139999999999997</v>
      </c>
      <c r="L222" s="451"/>
      <c r="M222" s="451">
        <f>+I222-S222</f>
        <v>3.139999999999997</v>
      </c>
      <c r="N222" s="483">
        <f>+O222+P222</f>
        <v>22.120000000000005</v>
      </c>
      <c r="O222" s="451">
        <f>+R222-H222</f>
        <v>22.120000000000005</v>
      </c>
      <c r="P222" s="451"/>
      <c r="Q222" s="451">
        <f>+R222+S222</f>
        <v>499.88</v>
      </c>
      <c r="R222" s="483">
        <v>480.12</v>
      </c>
      <c r="S222" s="483">
        <v>19.760000000000002</v>
      </c>
      <c r="T222" s="451"/>
      <c r="U222" s="451">
        <f t="shared" si="191"/>
        <v>0</v>
      </c>
      <c r="V222" s="451">
        <f t="shared" si="192"/>
        <v>0</v>
      </c>
      <c r="W222" s="451">
        <f t="shared" si="192"/>
        <v>0</v>
      </c>
      <c r="X222" s="445">
        <f t="shared" si="158"/>
        <v>0</v>
      </c>
      <c r="Y222" s="451"/>
      <c r="Z222" s="451"/>
      <c r="AA222" s="451"/>
      <c r="AB222" s="483"/>
      <c r="AC222" s="483"/>
      <c r="AD222" s="451"/>
      <c r="AE222" s="483"/>
      <c r="AF222" s="483"/>
      <c r="AG222" s="451">
        <f>+AH222+AI222</f>
        <v>499.88</v>
      </c>
      <c r="AH222" s="483">
        <v>480.12</v>
      </c>
      <c r="AI222" s="483">
        <v>19.760000000000002</v>
      </c>
      <c r="AJ222" s="451"/>
      <c r="AK222" s="451"/>
      <c r="AL222" s="15"/>
      <c r="AM222" s="506"/>
      <c r="AN222" s="506"/>
      <c r="AO222" s="506"/>
    </row>
    <row r="223" spans="1:41" s="14" customFormat="1" ht="23.25" customHeight="1">
      <c r="A223" s="4" t="s">
        <v>1001</v>
      </c>
      <c r="B223" s="507" t="s">
        <v>443</v>
      </c>
      <c r="C223" s="4"/>
      <c r="D223" s="4"/>
      <c r="E223" s="417">
        <v>0</v>
      </c>
      <c r="F223" s="417"/>
      <c r="G223" s="446">
        <f>SUM(G224:G237)</f>
        <v>10094.74</v>
      </c>
      <c r="H223" s="446">
        <f t="shared" ref="H223:T223" si="195">SUM(H224:H237)</f>
        <v>9614.0400000000009</v>
      </c>
      <c r="I223" s="446">
        <f t="shared" si="195"/>
        <v>480.7</v>
      </c>
      <c r="J223" s="446">
        <f t="shared" si="195"/>
        <v>0</v>
      </c>
      <c r="K223" s="446">
        <f t="shared" si="195"/>
        <v>651.41000000000008</v>
      </c>
      <c r="L223" s="446">
        <f t="shared" si="195"/>
        <v>609.74000000000012</v>
      </c>
      <c r="M223" s="446">
        <f t="shared" si="195"/>
        <v>41.669999999999995</v>
      </c>
      <c r="N223" s="446">
        <f t="shared" si="195"/>
        <v>651.4100000000002</v>
      </c>
      <c r="O223" s="446">
        <f t="shared" si="195"/>
        <v>609.74000000000012</v>
      </c>
      <c r="P223" s="446">
        <f t="shared" si="195"/>
        <v>41.670000000000016</v>
      </c>
      <c r="Q223" s="446">
        <f t="shared" si="195"/>
        <v>10094.74</v>
      </c>
      <c r="R223" s="446">
        <f t="shared" si="195"/>
        <v>9614.0400000000009</v>
      </c>
      <c r="S223" s="446">
        <f t="shared" si="195"/>
        <v>480.7</v>
      </c>
      <c r="T223" s="446">
        <f t="shared" si="195"/>
        <v>0</v>
      </c>
      <c r="U223" s="446">
        <f t="shared" ref="U223:AF223" si="196">SUM(U224:U236)</f>
        <v>6739.96</v>
      </c>
      <c r="V223" s="446">
        <f t="shared" si="196"/>
        <v>6392</v>
      </c>
      <c r="W223" s="446">
        <f t="shared" si="196"/>
        <v>347.96</v>
      </c>
      <c r="X223" s="446">
        <f t="shared" si="196"/>
        <v>1816.87</v>
      </c>
      <c r="Y223" s="446">
        <f t="shared" si="196"/>
        <v>1730.35</v>
      </c>
      <c r="Z223" s="446">
        <f t="shared" si="196"/>
        <v>86.52</v>
      </c>
      <c r="AA223" s="446">
        <f t="shared" si="196"/>
        <v>2444.9899999999998</v>
      </c>
      <c r="AB223" s="446">
        <f t="shared" si="196"/>
        <v>2319.75</v>
      </c>
      <c r="AC223" s="446">
        <f t="shared" si="196"/>
        <v>125.24000000000001</v>
      </c>
      <c r="AD223" s="446">
        <f t="shared" si="196"/>
        <v>2478.1000000000004</v>
      </c>
      <c r="AE223" s="446">
        <f t="shared" si="196"/>
        <v>2341.8999999999996</v>
      </c>
      <c r="AF223" s="446">
        <f t="shared" si="196"/>
        <v>136.19999999999999</v>
      </c>
      <c r="AG223" s="446">
        <f>SUM(AG224:AG237)</f>
        <v>3354.78</v>
      </c>
      <c r="AH223" s="446">
        <f>SUM(AH224:AH237)</f>
        <v>3222.04</v>
      </c>
      <c r="AI223" s="446">
        <f>SUM(AI224:AI237)</f>
        <v>132.73999999999998</v>
      </c>
      <c r="AJ223" s="446"/>
      <c r="AK223" s="446">
        <f>SUM(AK224:AK236)</f>
        <v>0</v>
      </c>
      <c r="AL223" s="16"/>
      <c r="AM223" s="368">
        <f>+'NĂM 2022'!K73+'NĂM 2023'!N88+'NĂM 2024'!J80+'NĂM 2025'!J77</f>
        <v>10094.74</v>
      </c>
      <c r="AN223" s="368">
        <f>+'NĂM 2022'!L73+'NĂM 2023'!O88+'NĂM 2024'!K80+'NĂM 2025'!K77</f>
        <v>9614.0400000000009</v>
      </c>
      <c r="AO223" s="368">
        <f>+'NĂM 2022'!M73+'NĂM 2023'!P88+'NĂM 2024'!L80+'NĂM 2025'!L77</f>
        <v>480.7</v>
      </c>
    </row>
    <row r="224" spans="1:41" ht="60" hidden="1">
      <c r="A224" s="8">
        <v>1</v>
      </c>
      <c r="B224" s="328" t="s">
        <v>444</v>
      </c>
      <c r="C224" s="8" t="s">
        <v>445</v>
      </c>
      <c r="D224" s="8"/>
      <c r="E224" s="22" t="s">
        <v>446</v>
      </c>
      <c r="F224" s="8" t="s">
        <v>52</v>
      </c>
      <c r="G224" s="445">
        <f t="shared" si="157"/>
        <v>1396.87</v>
      </c>
      <c r="H224" s="445">
        <v>1330.35</v>
      </c>
      <c r="I224" s="445">
        <v>66.52</v>
      </c>
      <c r="J224" s="451">
        <v>0</v>
      </c>
      <c r="K224" s="483">
        <f>+G224-Q224</f>
        <v>0</v>
      </c>
      <c r="L224" s="451"/>
      <c r="M224" s="451"/>
      <c r="N224" s="483"/>
      <c r="O224" s="451"/>
      <c r="P224" s="451"/>
      <c r="Q224" s="466">
        <f>+R224+S224</f>
        <v>1396.87</v>
      </c>
      <c r="R224" s="451">
        <v>1330.35</v>
      </c>
      <c r="S224" s="451">
        <v>66.52</v>
      </c>
      <c r="T224" s="451"/>
      <c r="U224" s="451">
        <f>+V224+W224</f>
        <v>1396.87</v>
      </c>
      <c r="V224" s="451">
        <f>+Y224+AB224+AE224</f>
        <v>1330.35</v>
      </c>
      <c r="W224" s="451">
        <f>+Z224+AC224+AF224</f>
        <v>66.52</v>
      </c>
      <c r="X224" s="445">
        <f t="shared" si="158"/>
        <v>1396.87</v>
      </c>
      <c r="Y224" s="445">
        <v>1330.35</v>
      </c>
      <c r="Z224" s="445">
        <v>66.52</v>
      </c>
      <c r="AA224" s="445"/>
      <c r="AB224" s="481"/>
      <c r="AC224" s="481"/>
      <c r="AD224" s="445"/>
      <c r="AE224" s="481"/>
      <c r="AF224" s="481"/>
      <c r="AG224" s="445"/>
      <c r="AH224" s="481"/>
      <c r="AI224" s="481"/>
      <c r="AJ224" s="445"/>
      <c r="AK224" s="451"/>
      <c r="AL224" s="15"/>
      <c r="AM224" s="506">
        <f>+G223-U223</f>
        <v>3354.7799999999997</v>
      </c>
      <c r="AN224" s="506">
        <f>+H223-V223</f>
        <v>3222.0400000000009</v>
      </c>
      <c r="AO224" s="506">
        <f>+I223-W223</f>
        <v>132.74</v>
      </c>
    </row>
    <row r="225" spans="1:41" ht="75" hidden="1">
      <c r="A225" s="8">
        <f>+A224+1</f>
        <v>2</v>
      </c>
      <c r="B225" s="328" t="s">
        <v>447</v>
      </c>
      <c r="C225" s="8" t="s">
        <v>445</v>
      </c>
      <c r="D225" s="8"/>
      <c r="E225" s="8" t="s">
        <v>94</v>
      </c>
      <c r="F225" s="8" t="s">
        <v>52</v>
      </c>
      <c r="G225" s="445">
        <f t="shared" si="157"/>
        <v>420</v>
      </c>
      <c r="H225" s="445">
        <v>400</v>
      </c>
      <c r="I225" s="445">
        <v>20</v>
      </c>
      <c r="J225" s="451">
        <v>0</v>
      </c>
      <c r="K225" s="483">
        <f t="shared" ref="K225" si="197">+G225-Q225</f>
        <v>0</v>
      </c>
      <c r="L225" s="451"/>
      <c r="M225" s="451"/>
      <c r="N225" s="483"/>
      <c r="O225" s="451"/>
      <c r="P225" s="451"/>
      <c r="Q225" s="466">
        <f t="shared" ref="Q225:Q231" si="198">+R225+S225</f>
        <v>420</v>
      </c>
      <c r="R225" s="451">
        <v>400</v>
      </c>
      <c r="S225" s="451">
        <v>20</v>
      </c>
      <c r="T225" s="451"/>
      <c r="U225" s="451">
        <f t="shared" ref="U225:U236" si="199">+V225+W225</f>
        <v>420</v>
      </c>
      <c r="V225" s="451">
        <f t="shared" ref="V225:W236" si="200">+Y225+AB225+AE225</f>
        <v>400</v>
      </c>
      <c r="W225" s="451">
        <f t="shared" si="200"/>
        <v>20</v>
      </c>
      <c r="X225" s="445">
        <f t="shared" si="158"/>
        <v>420</v>
      </c>
      <c r="Y225" s="445">
        <v>400</v>
      </c>
      <c r="Z225" s="445">
        <v>20</v>
      </c>
      <c r="AA225" s="445"/>
      <c r="AB225" s="481"/>
      <c r="AC225" s="481"/>
      <c r="AD225" s="445"/>
      <c r="AE225" s="481"/>
      <c r="AF225" s="481"/>
      <c r="AG225" s="445"/>
      <c r="AH225" s="481"/>
      <c r="AI225" s="481"/>
      <c r="AJ225" s="445"/>
      <c r="AK225" s="451"/>
      <c r="AL225" s="15"/>
      <c r="AM225" s="365">
        <f>+AM224-AG223</f>
        <v>0</v>
      </c>
      <c r="AN225" s="365">
        <f t="shared" ref="AN225:AO225" si="201">+AN224-AH223</f>
        <v>0</v>
      </c>
      <c r="AO225" s="365">
        <f t="shared" si="201"/>
        <v>0</v>
      </c>
    </row>
    <row r="226" spans="1:41" ht="60" hidden="1">
      <c r="A226" s="8">
        <f t="shared" ref="A226:A237" si="202">+A225+1</f>
        <v>3</v>
      </c>
      <c r="B226" s="341" t="s">
        <v>448</v>
      </c>
      <c r="C226" s="8" t="s">
        <v>449</v>
      </c>
      <c r="D226" s="8"/>
      <c r="E226" s="22" t="s">
        <v>450</v>
      </c>
      <c r="F226" s="8" t="s">
        <v>53</v>
      </c>
      <c r="G226" s="445">
        <f t="shared" si="157"/>
        <v>1365</v>
      </c>
      <c r="H226" s="445">
        <v>1300</v>
      </c>
      <c r="I226" s="445">
        <v>65</v>
      </c>
      <c r="J226" s="451"/>
      <c r="K226" s="483">
        <f>+L226+M226</f>
        <v>63.799999999999955</v>
      </c>
      <c r="L226" s="451">
        <f>+H226-R226</f>
        <v>63.799999999999955</v>
      </c>
      <c r="M226" s="451"/>
      <c r="N226" s="483">
        <f>+O226+P226</f>
        <v>6.9000000000000057</v>
      </c>
      <c r="O226" s="451"/>
      <c r="P226" s="451">
        <f>+S226-I226</f>
        <v>6.9000000000000057</v>
      </c>
      <c r="Q226" s="466">
        <f t="shared" si="198"/>
        <v>1308.1000000000001</v>
      </c>
      <c r="R226" s="451">
        <v>1236.2</v>
      </c>
      <c r="S226" s="451">
        <v>71.900000000000006</v>
      </c>
      <c r="T226" s="451"/>
      <c r="U226" s="451">
        <f t="shared" si="199"/>
        <v>1308.1000000000001</v>
      </c>
      <c r="V226" s="451">
        <f t="shared" si="200"/>
        <v>1236.2</v>
      </c>
      <c r="W226" s="451">
        <f t="shared" si="200"/>
        <v>71.900000000000006</v>
      </c>
      <c r="X226" s="445">
        <f t="shared" si="158"/>
        <v>0</v>
      </c>
      <c r="Y226" s="451"/>
      <c r="Z226" s="451"/>
      <c r="AA226" s="451"/>
      <c r="AB226" s="483"/>
      <c r="AC226" s="483"/>
      <c r="AD226" s="451">
        <f>+AE226+AF226</f>
        <v>1308.1000000000001</v>
      </c>
      <c r="AE226" s="483">
        <v>1236.2</v>
      </c>
      <c r="AF226" s="483">
        <v>71.900000000000006</v>
      </c>
      <c r="AG226" s="451"/>
      <c r="AH226" s="483"/>
      <c r="AI226" s="483"/>
      <c r="AJ226" s="451"/>
      <c r="AK226" s="451"/>
      <c r="AL226" s="15"/>
      <c r="AM226" s="506"/>
    </row>
    <row r="227" spans="1:41" ht="75" hidden="1">
      <c r="A227" s="8">
        <f t="shared" si="202"/>
        <v>4</v>
      </c>
      <c r="B227" s="328" t="s">
        <v>451</v>
      </c>
      <c r="C227" s="8" t="s">
        <v>452</v>
      </c>
      <c r="D227" s="8"/>
      <c r="E227" s="8" t="s">
        <v>94</v>
      </c>
      <c r="F227" s="8" t="s">
        <v>53</v>
      </c>
      <c r="G227" s="445">
        <f t="shared" si="157"/>
        <v>420</v>
      </c>
      <c r="H227" s="445">
        <v>400</v>
      </c>
      <c r="I227" s="445">
        <v>20</v>
      </c>
      <c r="J227" s="451">
        <v>0</v>
      </c>
      <c r="K227" s="483">
        <f>+L227+M227</f>
        <v>20.25</v>
      </c>
      <c r="L227" s="451">
        <f t="shared" ref="L227:M235" si="203">+H227-R227</f>
        <v>20.25</v>
      </c>
      <c r="M227" s="451"/>
      <c r="N227" s="483">
        <f>+O227+P227</f>
        <v>0.5</v>
      </c>
      <c r="O227" s="451"/>
      <c r="P227" s="451">
        <f>+S227-I227</f>
        <v>0.5</v>
      </c>
      <c r="Q227" s="466">
        <f t="shared" si="198"/>
        <v>400.25</v>
      </c>
      <c r="R227" s="451">
        <v>379.75</v>
      </c>
      <c r="S227" s="451">
        <v>20.5</v>
      </c>
      <c r="T227" s="451"/>
      <c r="U227" s="451">
        <f t="shared" si="199"/>
        <v>400.25</v>
      </c>
      <c r="V227" s="451">
        <f t="shared" si="200"/>
        <v>379.75</v>
      </c>
      <c r="W227" s="451">
        <f t="shared" si="200"/>
        <v>20.5</v>
      </c>
      <c r="X227" s="445">
        <f t="shared" si="158"/>
        <v>0</v>
      </c>
      <c r="Y227" s="451"/>
      <c r="Z227" s="451"/>
      <c r="AA227" s="451">
        <f>+AB227+AC227</f>
        <v>400.25</v>
      </c>
      <c r="AB227" s="483">
        <v>379.75</v>
      </c>
      <c r="AC227" s="483">
        <v>20.5</v>
      </c>
      <c r="AD227" s="451"/>
      <c r="AE227" s="483"/>
      <c r="AF227" s="483"/>
      <c r="AG227" s="451"/>
      <c r="AH227" s="483"/>
      <c r="AI227" s="483"/>
      <c r="AJ227" s="451"/>
      <c r="AK227" s="451"/>
      <c r="AL227" s="15"/>
    </row>
    <row r="228" spans="1:41" ht="60" hidden="1">
      <c r="A228" s="8">
        <f t="shared" si="202"/>
        <v>5</v>
      </c>
      <c r="B228" s="341" t="s">
        <v>453</v>
      </c>
      <c r="C228" s="8" t="s">
        <v>454</v>
      </c>
      <c r="D228" s="8"/>
      <c r="E228" s="22" t="s">
        <v>455</v>
      </c>
      <c r="F228" s="8" t="s">
        <v>53</v>
      </c>
      <c r="G228" s="445">
        <f t="shared" si="157"/>
        <v>1050</v>
      </c>
      <c r="H228" s="445">
        <v>1000</v>
      </c>
      <c r="I228" s="445">
        <v>50</v>
      </c>
      <c r="J228" s="451">
        <v>0</v>
      </c>
      <c r="K228" s="483">
        <f>+L228+M228</f>
        <v>333.3</v>
      </c>
      <c r="L228" s="451">
        <f t="shared" si="203"/>
        <v>320</v>
      </c>
      <c r="M228" s="451">
        <f t="shared" si="203"/>
        <v>13.299999999999997</v>
      </c>
      <c r="N228" s="483"/>
      <c r="O228" s="451"/>
      <c r="P228" s="451"/>
      <c r="Q228" s="466">
        <f t="shared" si="198"/>
        <v>716.7</v>
      </c>
      <c r="R228" s="451">
        <v>680</v>
      </c>
      <c r="S228" s="451">
        <v>36.700000000000003</v>
      </c>
      <c r="T228" s="451"/>
      <c r="U228" s="451">
        <f t="shared" si="199"/>
        <v>716.7</v>
      </c>
      <c r="V228" s="451">
        <f t="shared" si="200"/>
        <v>680</v>
      </c>
      <c r="W228" s="451">
        <f t="shared" si="200"/>
        <v>36.700000000000003</v>
      </c>
      <c r="X228" s="445">
        <f t="shared" si="158"/>
        <v>0</v>
      </c>
      <c r="Y228" s="451"/>
      <c r="Z228" s="451"/>
      <c r="AA228" s="451">
        <f>+AB228+AC228</f>
        <v>716.7</v>
      </c>
      <c r="AB228" s="483">
        <v>680</v>
      </c>
      <c r="AC228" s="483">
        <v>36.700000000000003</v>
      </c>
      <c r="AD228" s="451"/>
      <c r="AE228" s="483"/>
      <c r="AF228" s="483"/>
      <c r="AG228" s="451"/>
      <c r="AH228" s="483"/>
      <c r="AI228" s="483"/>
      <c r="AJ228" s="451"/>
      <c r="AK228" s="451"/>
      <c r="AL228" s="15"/>
    </row>
    <row r="229" spans="1:41" ht="75" hidden="1">
      <c r="A229" s="8">
        <f t="shared" si="202"/>
        <v>6</v>
      </c>
      <c r="B229" s="328" t="s">
        <v>456</v>
      </c>
      <c r="C229" s="8" t="s">
        <v>454</v>
      </c>
      <c r="D229" s="8"/>
      <c r="E229" s="8" t="s">
        <v>94</v>
      </c>
      <c r="F229" s="8" t="s">
        <v>54</v>
      </c>
      <c r="G229" s="445">
        <f t="shared" si="157"/>
        <v>420</v>
      </c>
      <c r="H229" s="445">
        <v>400</v>
      </c>
      <c r="I229" s="445">
        <v>20</v>
      </c>
      <c r="J229" s="451">
        <v>0</v>
      </c>
      <c r="K229" s="483">
        <f>+L229+M229</f>
        <v>3.1000000000000227</v>
      </c>
      <c r="L229" s="451">
        <f t="shared" si="203"/>
        <v>3.1000000000000227</v>
      </c>
      <c r="M229" s="451"/>
      <c r="N229" s="483">
        <f>+O229+P229</f>
        <v>3.1000000000000014</v>
      </c>
      <c r="O229" s="451"/>
      <c r="P229" s="451">
        <f>+S229-I229</f>
        <v>3.1000000000000014</v>
      </c>
      <c r="Q229" s="466">
        <f t="shared" si="198"/>
        <v>420</v>
      </c>
      <c r="R229" s="451">
        <v>396.9</v>
      </c>
      <c r="S229" s="451">
        <v>23.1</v>
      </c>
      <c r="T229" s="451"/>
      <c r="U229" s="451">
        <f t="shared" si="199"/>
        <v>420</v>
      </c>
      <c r="V229" s="451">
        <f t="shared" si="200"/>
        <v>396.9</v>
      </c>
      <c r="W229" s="451">
        <f t="shared" si="200"/>
        <v>23.1</v>
      </c>
      <c r="X229" s="445">
        <f t="shared" si="158"/>
        <v>0</v>
      </c>
      <c r="Y229" s="451"/>
      <c r="Z229" s="451"/>
      <c r="AA229" s="451"/>
      <c r="AB229" s="483"/>
      <c r="AC229" s="483"/>
      <c r="AD229" s="451">
        <f>+AE229+AF229</f>
        <v>420</v>
      </c>
      <c r="AE229" s="483">
        <v>396.9</v>
      </c>
      <c r="AF229" s="483">
        <v>23.1</v>
      </c>
      <c r="AG229" s="451"/>
      <c r="AH229" s="483"/>
      <c r="AI229" s="483"/>
      <c r="AJ229" s="451"/>
      <c r="AK229" s="451"/>
      <c r="AL229" s="15"/>
    </row>
    <row r="230" spans="1:41" ht="60" hidden="1">
      <c r="A230" s="8">
        <f t="shared" si="202"/>
        <v>7</v>
      </c>
      <c r="B230" s="341" t="s">
        <v>457</v>
      </c>
      <c r="C230" s="8" t="s">
        <v>449</v>
      </c>
      <c r="D230" s="8"/>
      <c r="E230" s="22" t="s">
        <v>458</v>
      </c>
      <c r="F230" s="8" t="s">
        <v>54</v>
      </c>
      <c r="G230" s="445">
        <f t="shared" si="157"/>
        <v>1155</v>
      </c>
      <c r="H230" s="445">
        <v>1100</v>
      </c>
      <c r="I230" s="445">
        <v>55</v>
      </c>
      <c r="J230" s="451">
        <v>0</v>
      </c>
      <c r="K230" s="483"/>
      <c r="L230" s="451"/>
      <c r="M230" s="451"/>
      <c r="N230" s="483">
        <f>+O230+P230</f>
        <v>173.04000000000002</v>
      </c>
      <c r="O230" s="451">
        <f>+R230-H230</f>
        <v>160</v>
      </c>
      <c r="P230" s="451">
        <f>+S230-I230</f>
        <v>13.040000000000006</v>
      </c>
      <c r="Q230" s="466">
        <f t="shared" si="198"/>
        <v>1328.04</v>
      </c>
      <c r="R230" s="451">
        <v>1260</v>
      </c>
      <c r="S230" s="451">
        <v>68.040000000000006</v>
      </c>
      <c r="T230" s="451"/>
      <c r="U230" s="451">
        <f t="shared" si="199"/>
        <v>1328.04</v>
      </c>
      <c r="V230" s="451">
        <f t="shared" si="200"/>
        <v>1260</v>
      </c>
      <c r="W230" s="451">
        <f t="shared" si="200"/>
        <v>68.040000000000006</v>
      </c>
      <c r="X230" s="445">
        <f t="shared" si="158"/>
        <v>0</v>
      </c>
      <c r="Y230" s="451"/>
      <c r="Z230" s="451"/>
      <c r="AA230" s="451">
        <f>+AB230+AC230</f>
        <v>1328.04</v>
      </c>
      <c r="AB230" s="483">
        <v>1260</v>
      </c>
      <c r="AC230" s="483">
        <v>68.040000000000006</v>
      </c>
      <c r="AD230" s="451"/>
      <c r="AE230" s="483"/>
      <c r="AF230" s="483"/>
      <c r="AG230" s="451"/>
      <c r="AH230" s="483"/>
      <c r="AI230" s="483"/>
      <c r="AJ230" s="451"/>
      <c r="AK230" s="451"/>
      <c r="AL230" s="15"/>
    </row>
    <row r="231" spans="1:41" ht="60" hidden="1">
      <c r="A231" s="8">
        <f>+A233+1</f>
        <v>10</v>
      </c>
      <c r="B231" s="328" t="s">
        <v>464</v>
      </c>
      <c r="C231" s="8" t="s">
        <v>463</v>
      </c>
      <c r="D231" s="8"/>
      <c r="E231" s="22" t="s">
        <v>461</v>
      </c>
      <c r="F231" s="8" t="s">
        <v>55</v>
      </c>
      <c r="G231" s="445">
        <f t="shared" ref="G231:G236" si="204">H231+I231</f>
        <v>822.87</v>
      </c>
      <c r="H231" s="445">
        <v>783.69</v>
      </c>
      <c r="I231" s="445">
        <v>39.18</v>
      </c>
      <c r="J231" s="451">
        <v>0</v>
      </c>
      <c r="K231" s="483">
        <f>+L231+M231</f>
        <v>74.8900000000001</v>
      </c>
      <c r="L231" s="451">
        <f t="shared" si="203"/>
        <v>74.8900000000001</v>
      </c>
      <c r="M231" s="451"/>
      <c r="N231" s="483">
        <f>+O231+P231</f>
        <v>2.0200000000000031</v>
      </c>
      <c r="O231" s="451"/>
      <c r="P231" s="451">
        <f>+S231-I231</f>
        <v>2.0200000000000031</v>
      </c>
      <c r="Q231" s="466">
        <f t="shared" si="198"/>
        <v>750</v>
      </c>
      <c r="R231" s="451">
        <v>708.8</v>
      </c>
      <c r="S231" s="451">
        <v>41.2</v>
      </c>
      <c r="T231" s="451"/>
      <c r="U231" s="451">
        <f t="shared" si="199"/>
        <v>750</v>
      </c>
      <c r="V231" s="451">
        <f t="shared" si="200"/>
        <v>708.8</v>
      </c>
      <c r="W231" s="451">
        <f t="shared" si="200"/>
        <v>41.2</v>
      </c>
      <c r="X231" s="445">
        <f t="shared" ref="X231:X236" si="205">Y231+Z231</f>
        <v>0</v>
      </c>
      <c r="Y231" s="451"/>
      <c r="Z231" s="451"/>
      <c r="AA231" s="451"/>
      <c r="AB231" s="483"/>
      <c r="AC231" s="483"/>
      <c r="AD231" s="451">
        <f>+AE231+AF231</f>
        <v>750</v>
      </c>
      <c r="AE231" s="483">
        <v>708.8</v>
      </c>
      <c r="AF231" s="483">
        <v>41.2</v>
      </c>
      <c r="AG231" s="451"/>
      <c r="AH231" s="483"/>
      <c r="AI231" s="483"/>
      <c r="AJ231" s="451"/>
      <c r="AK231" s="451"/>
      <c r="AL231" s="15"/>
    </row>
    <row r="232" spans="1:41" ht="60" hidden="1">
      <c r="A232" s="8">
        <f>+A230+1</f>
        <v>8</v>
      </c>
      <c r="B232" s="328" t="s">
        <v>459</v>
      </c>
      <c r="C232" s="8" t="s">
        <v>460</v>
      </c>
      <c r="D232" s="8"/>
      <c r="E232" s="22" t="s">
        <v>461</v>
      </c>
      <c r="F232" s="8" t="s">
        <v>54</v>
      </c>
      <c r="G232" s="445">
        <f>H232+I232</f>
        <v>840</v>
      </c>
      <c r="H232" s="445">
        <v>800</v>
      </c>
      <c r="I232" s="445">
        <v>40</v>
      </c>
      <c r="J232" s="451">
        <v>0</v>
      </c>
      <c r="K232" s="483">
        <f>+L232+M232</f>
        <v>140.00000000000006</v>
      </c>
      <c r="L232" s="451">
        <f t="shared" si="203"/>
        <v>127.70000000000005</v>
      </c>
      <c r="M232" s="451">
        <f t="shared" si="203"/>
        <v>12.3</v>
      </c>
      <c r="N232" s="483"/>
      <c r="O232" s="451"/>
      <c r="P232" s="451"/>
      <c r="Q232" s="451">
        <f>+R232+S232</f>
        <v>700</v>
      </c>
      <c r="R232" s="483">
        <v>672.3</v>
      </c>
      <c r="S232" s="483">
        <v>27.7</v>
      </c>
      <c r="T232" s="451"/>
      <c r="U232" s="451">
        <f>+V232+W232</f>
        <v>0</v>
      </c>
      <c r="V232" s="451">
        <f>+Y232+AB232+AE232</f>
        <v>0</v>
      </c>
      <c r="W232" s="451">
        <f>+Z232+AC232+AF232</f>
        <v>0</v>
      </c>
      <c r="X232" s="445">
        <f>Y232+Z232</f>
        <v>0</v>
      </c>
      <c r="Y232" s="451"/>
      <c r="Z232" s="451"/>
      <c r="AA232" s="451"/>
      <c r="AB232" s="483"/>
      <c r="AC232" s="483"/>
      <c r="AD232" s="451"/>
      <c r="AE232" s="483"/>
      <c r="AF232" s="483"/>
      <c r="AG232" s="451">
        <f>+AH232+AI232</f>
        <v>700</v>
      </c>
      <c r="AH232" s="483">
        <v>672.3</v>
      </c>
      <c r="AI232" s="483">
        <v>27.7</v>
      </c>
      <c r="AJ232" s="451"/>
      <c r="AK232" s="451"/>
      <c r="AL232" s="15"/>
    </row>
    <row r="233" spans="1:41" ht="75" hidden="1">
      <c r="A233" s="8">
        <f>+A232+1</f>
        <v>9</v>
      </c>
      <c r="B233" s="328" t="s">
        <v>462</v>
      </c>
      <c r="C233" s="8" t="s">
        <v>463</v>
      </c>
      <c r="D233" s="8"/>
      <c r="E233" s="8" t="s">
        <v>94</v>
      </c>
      <c r="F233" s="8" t="s">
        <v>54</v>
      </c>
      <c r="G233" s="445">
        <f>H233+I233</f>
        <v>420</v>
      </c>
      <c r="H233" s="445">
        <v>400</v>
      </c>
      <c r="I233" s="445">
        <v>20</v>
      </c>
      <c r="J233" s="451">
        <v>0</v>
      </c>
      <c r="K233" s="483">
        <f>+L233+M233</f>
        <v>3.379999999999999</v>
      </c>
      <c r="L233" s="451"/>
      <c r="M233" s="451">
        <f t="shared" si="203"/>
        <v>3.379999999999999</v>
      </c>
      <c r="N233" s="483">
        <f>+O233+P233</f>
        <v>3.3799999999999955</v>
      </c>
      <c r="O233" s="451">
        <f>+R233-H233</f>
        <v>3.3799999999999955</v>
      </c>
      <c r="P233" s="451"/>
      <c r="Q233" s="445">
        <f t="shared" ref="Q233:Q235" si="206">R233+S233</f>
        <v>420</v>
      </c>
      <c r="R233" s="445">
        <v>403.38</v>
      </c>
      <c r="S233" s="445">
        <v>16.62</v>
      </c>
      <c r="T233" s="451"/>
      <c r="U233" s="451">
        <f>+V233+W233</f>
        <v>0</v>
      </c>
      <c r="V233" s="451">
        <f>+Y233+AB233+AE233</f>
        <v>0</v>
      </c>
      <c r="W233" s="451">
        <f>+Z233+AC233+AF233</f>
        <v>0</v>
      </c>
      <c r="X233" s="445">
        <f>Y233+Z233</f>
        <v>0</v>
      </c>
      <c r="Y233" s="451"/>
      <c r="Z233" s="451"/>
      <c r="AA233" s="451"/>
      <c r="AB233" s="483"/>
      <c r="AC233" s="483"/>
      <c r="AD233" s="451"/>
      <c r="AE233" s="483"/>
      <c r="AF233" s="483"/>
      <c r="AG233" s="445">
        <f t="shared" ref="AG233:AG235" si="207">AH233+AI233</f>
        <v>420</v>
      </c>
      <c r="AH233" s="445">
        <v>403.38</v>
      </c>
      <c r="AI233" s="445">
        <v>16.62</v>
      </c>
      <c r="AJ233" s="451"/>
      <c r="AK233" s="451"/>
      <c r="AL233" s="15"/>
    </row>
    <row r="234" spans="1:41" ht="60" hidden="1">
      <c r="A234" s="8">
        <f>+A231+1</f>
        <v>11</v>
      </c>
      <c r="B234" s="328" t="s">
        <v>465</v>
      </c>
      <c r="C234" s="8" t="s">
        <v>454</v>
      </c>
      <c r="D234" s="8"/>
      <c r="E234" s="22" t="s">
        <v>458</v>
      </c>
      <c r="F234" s="8" t="s">
        <v>55</v>
      </c>
      <c r="G234" s="445">
        <f t="shared" si="204"/>
        <v>1260</v>
      </c>
      <c r="H234" s="445">
        <v>1200</v>
      </c>
      <c r="I234" s="445">
        <v>60</v>
      </c>
      <c r="J234" s="451">
        <v>0</v>
      </c>
      <c r="K234" s="483">
        <f>+L234+M234</f>
        <v>10.149999999999999</v>
      </c>
      <c r="L234" s="451"/>
      <c r="M234" s="451">
        <f t="shared" si="203"/>
        <v>10.149999999999999</v>
      </c>
      <c r="N234" s="483">
        <f>+O234+P234</f>
        <v>10.150000000000091</v>
      </c>
      <c r="O234" s="451">
        <f>+R234-H234</f>
        <v>10.150000000000091</v>
      </c>
      <c r="P234" s="451"/>
      <c r="Q234" s="445">
        <f t="shared" si="206"/>
        <v>1260</v>
      </c>
      <c r="R234" s="445">
        <v>1210.1500000000001</v>
      </c>
      <c r="S234" s="445">
        <v>49.85</v>
      </c>
      <c r="T234" s="451"/>
      <c r="U234" s="451">
        <f t="shared" si="199"/>
        <v>0</v>
      </c>
      <c r="V234" s="451">
        <f>+Y234+AB234+AE234</f>
        <v>0</v>
      </c>
      <c r="W234" s="451">
        <f t="shared" si="200"/>
        <v>0</v>
      </c>
      <c r="X234" s="445">
        <f t="shared" si="205"/>
        <v>0</v>
      </c>
      <c r="Y234" s="451"/>
      <c r="Z234" s="451"/>
      <c r="AA234" s="451"/>
      <c r="AB234" s="483"/>
      <c r="AC234" s="483"/>
      <c r="AD234" s="451"/>
      <c r="AE234" s="483"/>
      <c r="AF234" s="483"/>
      <c r="AG234" s="445">
        <f t="shared" si="207"/>
        <v>1260</v>
      </c>
      <c r="AH234" s="445">
        <v>1210.1500000000001</v>
      </c>
      <c r="AI234" s="445">
        <v>49.85</v>
      </c>
      <c r="AJ234" s="451"/>
      <c r="AK234" s="451"/>
      <c r="AL234" s="15"/>
    </row>
    <row r="235" spans="1:41" ht="60" hidden="1">
      <c r="A235" s="8">
        <f t="shared" si="202"/>
        <v>12</v>
      </c>
      <c r="B235" s="328" t="s">
        <v>1154</v>
      </c>
      <c r="C235" s="8" t="s">
        <v>454</v>
      </c>
      <c r="D235" s="8"/>
      <c r="E235" s="22" t="s">
        <v>467</v>
      </c>
      <c r="F235" s="8" t="s">
        <v>55</v>
      </c>
      <c r="G235" s="445">
        <f t="shared" si="204"/>
        <v>315</v>
      </c>
      <c r="H235" s="445">
        <v>300</v>
      </c>
      <c r="I235" s="445">
        <v>15</v>
      </c>
      <c r="J235" s="451">
        <v>0</v>
      </c>
      <c r="K235" s="483">
        <f>+L235+M235</f>
        <v>2.5399999999999991</v>
      </c>
      <c r="L235" s="451"/>
      <c r="M235" s="451">
        <f t="shared" si="203"/>
        <v>2.5399999999999991</v>
      </c>
      <c r="N235" s="483">
        <f>+O235+P235</f>
        <v>2.5400000000000205</v>
      </c>
      <c r="O235" s="451">
        <f>+R235-H235</f>
        <v>2.5400000000000205</v>
      </c>
      <c r="P235" s="451"/>
      <c r="Q235" s="445">
        <f t="shared" si="206"/>
        <v>315</v>
      </c>
      <c r="R235" s="445">
        <v>302.54000000000002</v>
      </c>
      <c r="S235" s="445">
        <v>12.46</v>
      </c>
      <c r="T235" s="451"/>
      <c r="U235" s="451">
        <f t="shared" si="199"/>
        <v>0</v>
      </c>
      <c r="V235" s="451">
        <f t="shared" si="200"/>
        <v>0</v>
      </c>
      <c r="W235" s="451">
        <f t="shared" si="200"/>
        <v>0</v>
      </c>
      <c r="X235" s="445">
        <f t="shared" si="205"/>
        <v>0</v>
      </c>
      <c r="Y235" s="451"/>
      <c r="Z235" s="451"/>
      <c r="AA235" s="451"/>
      <c r="AB235" s="483"/>
      <c r="AC235" s="483"/>
      <c r="AD235" s="451"/>
      <c r="AE235" s="483"/>
      <c r="AF235" s="483"/>
      <c r="AG235" s="445">
        <f t="shared" si="207"/>
        <v>315</v>
      </c>
      <c r="AH235" s="445">
        <v>302.54000000000002</v>
      </c>
      <c r="AI235" s="445">
        <v>12.46</v>
      </c>
      <c r="AJ235" s="451"/>
      <c r="AK235" s="451"/>
      <c r="AL235" s="15"/>
    </row>
    <row r="236" spans="1:41" ht="60" hidden="1">
      <c r="A236" s="8">
        <f t="shared" si="202"/>
        <v>13</v>
      </c>
      <c r="B236" s="328" t="s">
        <v>1155</v>
      </c>
      <c r="C236" s="8" t="s">
        <v>1156</v>
      </c>
      <c r="D236" s="8"/>
      <c r="E236" s="22"/>
      <c r="F236" s="8" t="s">
        <v>55</v>
      </c>
      <c r="G236" s="445">
        <f t="shared" si="204"/>
        <v>210</v>
      </c>
      <c r="H236" s="445">
        <v>200</v>
      </c>
      <c r="I236" s="445">
        <v>10</v>
      </c>
      <c r="J236" s="451">
        <v>0</v>
      </c>
      <c r="K236" s="483"/>
      <c r="L236" s="451"/>
      <c r="M236" s="451"/>
      <c r="N236" s="483">
        <f>+O236+P236</f>
        <v>149.78000000000003</v>
      </c>
      <c r="O236" s="451">
        <f>+R236-H236</f>
        <v>145.54000000000002</v>
      </c>
      <c r="P236" s="451">
        <f>+S236-I236</f>
        <v>4.24</v>
      </c>
      <c r="Q236" s="451">
        <f>+R236+S236</f>
        <v>359.78000000000003</v>
      </c>
      <c r="R236" s="483">
        <v>345.54</v>
      </c>
      <c r="S236" s="483">
        <v>14.24</v>
      </c>
      <c r="T236" s="451"/>
      <c r="U236" s="451">
        <f t="shared" si="199"/>
        <v>0</v>
      </c>
      <c r="V236" s="451">
        <f t="shared" si="200"/>
        <v>0</v>
      </c>
      <c r="W236" s="451">
        <f t="shared" si="200"/>
        <v>0</v>
      </c>
      <c r="X236" s="445">
        <f t="shared" si="205"/>
        <v>0</v>
      </c>
      <c r="Y236" s="451"/>
      <c r="Z236" s="451"/>
      <c r="AA236" s="451"/>
      <c r="AB236" s="483"/>
      <c r="AC236" s="483"/>
      <c r="AD236" s="451"/>
      <c r="AE236" s="483"/>
      <c r="AF236" s="483"/>
      <c r="AG236" s="451">
        <f>+AH236+AI236</f>
        <v>359.78000000000003</v>
      </c>
      <c r="AH236" s="483">
        <v>345.54</v>
      </c>
      <c r="AI236" s="483">
        <v>14.24</v>
      </c>
      <c r="AJ236" s="451"/>
      <c r="AK236" s="451"/>
      <c r="AL236" s="15"/>
    </row>
    <row r="237" spans="1:41" ht="45" hidden="1">
      <c r="A237" s="8">
        <f t="shared" si="202"/>
        <v>14</v>
      </c>
      <c r="B237" s="328" t="s">
        <v>1157</v>
      </c>
      <c r="C237" s="8" t="s">
        <v>445</v>
      </c>
      <c r="D237" s="8" t="s">
        <v>55</v>
      </c>
      <c r="E237" s="22"/>
      <c r="F237" s="8" t="s">
        <v>55</v>
      </c>
      <c r="G237" s="445"/>
      <c r="H237" s="445"/>
      <c r="I237" s="445"/>
      <c r="J237" s="451"/>
      <c r="K237" s="483"/>
      <c r="L237" s="451"/>
      <c r="M237" s="451"/>
      <c r="N237" s="451">
        <f>+O237+P237</f>
        <v>300</v>
      </c>
      <c r="O237" s="483">
        <v>288.13</v>
      </c>
      <c r="P237" s="483">
        <v>11.87</v>
      </c>
      <c r="Q237" s="451">
        <f>+R237+S237</f>
        <v>300</v>
      </c>
      <c r="R237" s="483">
        <v>288.13</v>
      </c>
      <c r="S237" s="483">
        <v>11.87</v>
      </c>
      <c r="T237" s="533" t="s">
        <v>1166</v>
      </c>
      <c r="U237" s="451"/>
      <c r="V237" s="451"/>
      <c r="W237" s="451"/>
      <c r="X237" s="445"/>
      <c r="Y237" s="451"/>
      <c r="Z237" s="451"/>
      <c r="AA237" s="451"/>
      <c r="AB237" s="483"/>
      <c r="AC237" s="483"/>
      <c r="AD237" s="451"/>
      <c r="AE237" s="483"/>
      <c r="AF237" s="483"/>
      <c r="AG237" s="451">
        <f>+AH237+AI237</f>
        <v>300</v>
      </c>
      <c r="AH237" s="483">
        <v>288.13</v>
      </c>
      <c r="AI237" s="483">
        <v>11.87</v>
      </c>
      <c r="AJ237" s="451"/>
      <c r="AK237" s="451"/>
      <c r="AL237" s="15"/>
    </row>
    <row r="238" spans="1:41" s="14" customFormat="1" ht="23.25" customHeight="1">
      <c r="A238" s="424" t="s">
        <v>1002</v>
      </c>
      <c r="B238" s="518" t="s">
        <v>472</v>
      </c>
      <c r="C238" s="418"/>
      <c r="D238" s="418"/>
      <c r="E238" s="417">
        <v>0</v>
      </c>
      <c r="F238" s="417"/>
      <c r="G238" s="446">
        <f>SUM(G239:G251)</f>
        <v>10098.000000000002</v>
      </c>
      <c r="H238" s="446">
        <f t="shared" ref="H238:S238" si="208">SUM(H239:H251)</f>
        <v>9617.14</v>
      </c>
      <c r="I238" s="446">
        <f t="shared" si="208"/>
        <v>480.85999999999996</v>
      </c>
      <c r="J238" s="446">
        <f t="shared" si="208"/>
        <v>0</v>
      </c>
      <c r="K238" s="446">
        <f t="shared" si="208"/>
        <v>456.67160000000007</v>
      </c>
      <c r="L238" s="446">
        <f t="shared" si="208"/>
        <v>417.67160000000007</v>
      </c>
      <c r="M238" s="446">
        <f t="shared" si="208"/>
        <v>39</v>
      </c>
      <c r="N238" s="446">
        <f t="shared" si="208"/>
        <v>456.67160000000013</v>
      </c>
      <c r="O238" s="446">
        <f t="shared" si="208"/>
        <v>417.67160000000013</v>
      </c>
      <c r="P238" s="446">
        <f t="shared" si="208"/>
        <v>38.999999999999993</v>
      </c>
      <c r="Q238" s="446">
        <f t="shared" si="208"/>
        <v>10098</v>
      </c>
      <c r="R238" s="446">
        <f t="shared" si="208"/>
        <v>9617.14</v>
      </c>
      <c r="S238" s="446">
        <f t="shared" si="208"/>
        <v>480.85999999999996</v>
      </c>
      <c r="T238" s="446"/>
      <c r="U238" s="446">
        <f t="shared" ref="U238:AI238" si="209">SUM(U239:U251)</f>
        <v>6733.7983999999997</v>
      </c>
      <c r="V238" s="446">
        <f t="shared" si="209"/>
        <v>6385.6484</v>
      </c>
      <c r="W238" s="446">
        <f t="shared" si="209"/>
        <v>348.15</v>
      </c>
      <c r="X238" s="446">
        <f t="shared" si="209"/>
        <v>1817.46</v>
      </c>
      <c r="Y238" s="446">
        <f t="shared" si="209"/>
        <v>1730.91</v>
      </c>
      <c r="Z238" s="446">
        <f t="shared" si="209"/>
        <v>86.55</v>
      </c>
      <c r="AA238" s="446">
        <f t="shared" si="209"/>
        <v>2437.3383999999996</v>
      </c>
      <c r="AB238" s="446">
        <f t="shared" si="209"/>
        <v>2312.0383999999999</v>
      </c>
      <c r="AC238" s="446">
        <f t="shared" si="209"/>
        <v>125.3</v>
      </c>
      <c r="AD238" s="446">
        <f t="shared" si="209"/>
        <v>2479</v>
      </c>
      <c r="AE238" s="446">
        <f t="shared" si="209"/>
        <v>2342.6999999999998</v>
      </c>
      <c r="AF238" s="446">
        <f t="shared" si="209"/>
        <v>136.30000000000001</v>
      </c>
      <c r="AG238" s="446">
        <f t="shared" si="209"/>
        <v>3364.2015999999999</v>
      </c>
      <c r="AH238" s="446">
        <f t="shared" si="209"/>
        <v>3231.4915999999998</v>
      </c>
      <c r="AI238" s="446">
        <f t="shared" si="209"/>
        <v>132.71</v>
      </c>
      <c r="AJ238" s="446"/>
      <c r="AK238" s="446">
        <f>SUM(AK239:AK251)</f>
        <v>0</v>
      </c>
      <c r="AL238" s="16"/>
      <c r="AM238" s="368">
        <f>+'NĂM 2022'!K76+'NĂM 2023'!N92+'NĂM 2024'!J85+'NĂM 2025'!J82</f>
        <v>10098</v>
      </c>
      <c r="AN238" s="368">
        <f>+'NĂM 2022'!L76+'NĂM 2023'!O92+'NĂM 2024'!K85+'NĂM 2025'!K82</f>
        <v>9617.14</v>
      </c>
      <c r="AO238" s="368">
        <f>+'NĂM 2022'!M76+'NĂM 2023'!P92+'NĂM 2024'!L85+'NĂM 2025'!L82</f>
        <v>480.86</v>
      </c>
    </row>
    <row r="239" spans="1:41" ht="75" hidden="1">
      <c r="A239" s="19">
        <v>1</v>
      </c>
      <c r="B239" s="343" t="s">
        <v>473</v>
      </c>
      <c r="C239" s="19" t="s">
        <v>474</v>
      </c>
      <c r="D239" s="19"/>
      <c r="E239" s="8" t="s">
        <v>475</v>
      </c>
      <c r="F239" s="8" t="s">
        <v>52</v>
      </c>
      <c r="G239" s="445">
        <f t="shared" ref="G239:G251" si="210">H239+I239</f>
        <v>1817.46</v>
      </c>
      <c r="H239" s="445">
        <v>1730.91</v>
      </c>
      <c r="I239" s="445">
        <v>86.55</v>
      </c>
      <c r="J239" s="451">
        <v>0</v>
      </c>
      <c r="K239" s="483">
        <f>+G239-Q239</f>
        <v>0</v>
      </c>
      <c r="L239" s="451"/>
      <c r="M239" s="451"/>
      <c r="N239" s="483"/>
      <c r="O239" s="451"/>
      <c r="P239" s="451"/>
      <c r="Q239" s="466">
        <v>1817.46</v>
      </c>
      <c r="R239" s="451">
        <v>1730.91</v>
      </c>
      <c r="S239" s="451">
        <v>86.55</v>
      </c>
      <c r="T239" s="451"/>
      <c r="U239" s="451">
        <f>+V239+W239</f>
        <v>1817.46</v>
      </c>
      <c r="V239" s="451">
        <f>+Y239+AB239+AE239</f>
        <v>1730.91</v>
      </c>
      <c r="W239" s="451">
        <f>+Z239+AC239+AF239</f>
        <v>86.55</v>
      </c>
      <c r="X239" s="445">
        <f t="shared" ref="X239:X251" si="211">Y239+Z239</f>
        <v>1817.46</v>
      </c>
      <c r="Y239" s="445">
        <v>1730.91</v>
      </c>
      <c r="Z239" s="445">
        <v>86.55</v>
      </c>
      <c r="AA239" s="445"/>
      <c r="AB239" s="481"/>
      <c r="AC239" s="481"/>
      <c r="AD239" s="445"/>
      <c r="AE239" s="481"/>
      <c r="AF239" s="481"/>
      <c r="AG239" s="445"/>
      <c r="AH239" s="481"/>
      <c r="AI239" s="481"/>
      <c r="AJ239" s="445"/>
      <c r="AK239" s="451"/>
      <c r="AL239" s="15"/>
      <c r="AM239" s="506">
        <f>+G238-U238</f>
        <v>3364.2016000000021</v>
      </c>
      <c r="AN239" s="506">
        <f>+H238-V238</f>
        <v>3231.4915999999994</v>
      </c>
      <c r="AO239" s="506">
        <f>+I238-W238</f>
        <v>132.70999999999998</v>
      </c>
    </row>
    <row r="240" spans="1:41" ht="75" hidden="1">
      <c r="A240" s="19">
        <f>+A239+1</f>
        <v>2</v>
      </c>
      <c r="B240" s="343" t="s">
        <v>476</v>
      </c>
      <c r="C240" s="19" t="s">
        <v>474</v>
      </c>
      <c r="D240" s="19"/>
      <c r="E240" s="8" t="s">
        <v>94</v>
      </c>
      <c r="F240" s="19" t="s">
        <v>53</v>
      </c>
      <c r="G240" s="445">
        <f t="shared" si="210"/>
        <v>468.3</v>
      </c>
      <c r="H240" s="445">
        <v>446</v>
      </c>
      <c r="I240" s="445">
        <v>22.3</v>
      </c>
      <c r="J240" s="451">
        <v>0</v>
      </c>
      <c r="K240" s="483"/>
      <c r="L240" s="451"/>
      <c r="M240" s="451"/>
      <c r="N240" s="483">
        <f>+O240+P240</f>
        <v>72.109999999999985</v>
      </c>
      <c r="O240" s="451">
        <f>+R240-H240</f>
        <v>64.259999999999991</v>
      </c>
      <c r="P240" s="451">
        <f>+S240-I240</f>
        <v>7.8499999999999979</v>
      </c>
      <c r="Q240" s="466">
        <v>540.41</v>
      </c>
      <c r="R240" s="451">
        <v>510.26</v>
      </c>
      <c r="S240" s="451">
        <v>30.15</v>
      </c>
      <c r="T240" s="451"/>
      <c r="U240" s="451">
        <f t="shared" ref="U240:U251" si="212">+V240+W240</f>
        <v>540.41</v>
      </c>
      <c r="V240" s="451">
        <f t="shared" ref="V240:W251" si="213">+Y240+AB240+AE240</f>
        <v>510.26</v>
      </c>
      <c r="W240" s="451">
        <f t="shared" si="213"/>
        <v>30.15</v>
      </c>
      <c r="X240" s="445">
        <f t="shared" si="211"/>
        <v>0</v>
      </c>
      <c r="Y240" s="451"/>
      <c r="Z240" s="451"/>
      <c r="AA240" s="451">
        <f>+AB240+AC240</f>
        <v>540.41</v>
      </c>
      <c r="AB240" s="483">
        <v>510.26</v>
      </c>
      <c r="AC240" s="483">
        <v>30.15</v>
      </c>
      <c r="AD240" s="451"/>
      <c r="AE240" s="483"/>
      <c r="AF240" s="483"/>
      <c r="AG240" s="451"/>
      <c r="AH240" s="483"/>
      <c r="AI240" s="483"/>
      <c r="AJ240" s="451"/>
      <c r="AK240" s="451"/>
      <c r="AL240" s="15"/>
      <c r="AM240" s="515">
        <f>+AM239-AG238</f>
        <v>0</v>
      </c>
      <c r="AN240" s="515">
        <f t="shared" ref="AN240:AO240" si="214">+AN239-AH238</f>
        <v>0</v>
      </c>
      <c r="AO240" s="515">
        <f t="shared" si="214"/>
        <v>0</v>
      </c>
    </row>
    <row r="241" spans="1:41" ht="75" hidden="1">
      <c r="A241" s="19">
        <f t="shared" ref="A241:A251" si="215">+A240+1</f>
        <v>3</v>
      </c>
      <c r="B241" s="343" t="s">
        <v>477</v>
      </c>
      <c r="C241" s="19" t="s">
        <v>478</v>
      </c>
      <c r="D241" s="19"/>
      <c r="E241" s="8" t="s">
        <v>94</v>
      </c>
      <c r="F241" s="19" t="s">
        <v>53</v>
      </c>
      <c r="G241" s="445">
        <f t="shared" si="210"/>
        <v>468.3</v>
      </c>
      <c r="H241" s="445">
        <v>446</v>
      </c>
      <c r="I241" s="445">
        <v>22.3</v>
      </c>
      <c r="J241" s="451">
        <v>0</v>
      </c>
      <c r="K241" s="483"/>
      <c r="L241" s="451"/>
      <c r="M241" s="451"/>
      <c r="N241" s="483">
        <f>+O241+P241</f>
        <v>72.099999999999994</v>
      </c>
      <c r="O241" s="451">
        <f>+R241-H241</f>
        <v>64.25</v>
      </c>
      <c r="P241" s="451">
        <f>+S241-I241</f>
        <v>7.8499999999999979</v>
      </c>
      <c r="Q241" s="466">
        <v>540.4</v>
      </c>
      <c r="R241" s="451">
        <v>510.25</v>
      </c>
      <c r="S241" s="451">
        <v>30.15</v>
      </c>
      <c r="T241" s="451"/>
      <c r="U241" s="451">
        <f t="shared" si="212"/>
        <v>540.4</v>
      </c>
      <c r="V241" s="451">
        <f t="shared" si="213"/>
        <v>510.25</v>
      </c>
      <c r="W241" s="451">
        <f t="shared" si="213"/>
        <v>30.15</v>
      </c>
      <c r="X241" s="445">
        <f t="shared" si="211"/>
        <v>0</v>
      </c>
      <c r="Y241" s="451"/>
      <c r="Z241" s="451"/>
      <c r="AA241" s="451">
        <f>+AB241+AC241</f>
        <v>540.4</v>
      </c>
      <c r="AB241" s="483">
        <v>510.25</v>
      </c>
      <c r="AC241" s="483">
        <v>30.15</v>
      </c>
      <c r="AD241" s="451"/>
      <c r="AE241" s="483"/>
      <c r="AF241" s="483"/>
      <c r="AG241" s="451"/>
      <c r="AH241" s="483"/>
      <c r="AI241" s="483"/>
      <c r="AJ241" s="451"/>
      <c r="AK241" s="451"/>
      <c r="AL241" s="15"/>
    </row>
    <row r="242" spans="1:41" ht="30" hidden="1">
      <c r="A242" s="19">
        <f t="shared" si="215"/>
        <v>4</v>
      </c>
      <c r="B242" s="343" t="s">
        <v>479</v>
      </c>
      <c r="C242" s="19" t="s">
        <v>472</v>
      </c>
      <c r="D242" s="19"/>
      <c r="E242" s="19" t="s">
        <v>480</v>
      </c>
      <c r="F242" s="19" t="s">
        <v>53</v>
      </c>
      <c r="G242" s="445">
        <f t="shared" si="210"/>
        <v>315</v>
      </c>
      <c r="H242" s="445">
        <v>300</v>
      </c>
      <c r="I242" s="445">
        <v>15</v>
      </c>
      <c r="J242" s="451">
        <v>0</v>
      </c>
      <c r="K242" s="483">
        <f>+L242+M242</f>
        <v>4.9309999999999832</v>
      </c>
      <c r="L242" s="451">
        <f>+H242-R242</f>
        <v>4.9309999999999832</v>
      </c>
      <c r="M242" s="451"/>
      <c r="N242" s="483"/>
      <c r="O242" s="451"/>
      <c r="P242" s="451"/>
      <c r="Q242" s="466">
        <v>310.06900000000002</v>
      </c>
      <c r="R242" s="451">
        <v>295.06900000000002</v>
      </c>
      <c r="S242" s="451">
        <v>15</v>
      </c>
      <c r="T242" s="451"/>
      <c r="U242" s="451">
        <f t="shared" si="212"/>
        <v>310.06900000000002</v>
      </c>
      <c r="V242" s="451">
        <f t="shared" si="213"/>
        <v>295.06900000000002</v>
      </c>
      <c r="W242" s="451">
        <f t="shared" si="213"/>
        <v>15</v>
      </c>
      <c r="X242" s="445">
        <f t="shared" si="211"/>
        <v>0</v>
      </c>
      <c r="Y242" s="451"/>
      <c r="Z242" s="451"/>
      <c r="AA242" s="451">
        <f>+AB242+AC242</f>
        <v>310.06900000000002</v>
      </c>
      <c r="AB242" s="483">
        <f>300-4.931</f>
        <v>295.06900000000002</v>
      </c>
      <c r="AC242" s="483">
        <v>15</v>
      </c>
      <c r="AD242" s="451"/>
      <c r="AE242" s="483"/>
      <c r="AF242" s="483"/>
      <c r="AG242" s="451"/>
      <c r="AH242" s="483"/>
      <c r="AI242" s="483"/>
      <c r="AJ242" s="451"/>
      <c r="AK242" s="451"/>
      <c r="AL242" s="15"/>
    </row>
    <row r="243" spans="1:41" ht="30" hidden="1">
      <c r="A243" s="19">
        <f t="shared" si="215"/>
        <v>5</v>
      </c>
      <c r="B243" s="343" t="s">
        <v>484</v>
      </c>
      <c r="C243" s="19" t="s">
        <v>482</v>
      </c>
      <c r="D243" s="19"/>
      <c r="E243" s="8" t="s">
        <v>483</v>
      </c>
      <c r="F243" s="19" t="s">
        <v>53</v>
      </c>
      <c r="G243" s="445">
        <f t="shared" si="210"/>
        <v>1050</v>
      </c>
      <c r="H243" s="445">
        <v>1000</v>
      </c>
      <c r="I243" s="445">
        <v>50</v>
      </c>
      <c r="J243" s="451">
        <v>0</v>
      </c>
      <c r="K243" s="483">
        <f>+L243+M243</f>
        <v>3.5406000000000404</v>
      </c>
      <c r="L243" s="451">
        <f>+H243-R243</f>
        <v>3.5406000000000404</v>
      </c>
      <c r="M243" s="451"/>
      <c r="N243" s="483"/>
      <c r="O243" s="451"/>
      <c r="P243" s="451"/>
      <c r="Q243" s="466">
        <v>1046.4594</v>
      </c>
      <c r="R243" s="451">
        <v>996.45939999999996</v>
      </c>
      <c r="S243" s="451">
        <v>50</v>
      </c>
      <c r="T243" s="451"/>
      <c r="U243" s="451">
        <f t="shared" si="212"/>
        <v>1046.4594</v>
      </c>
      <c r="V243" s="451">
        <f t="shared" si="213"/>
        <v>996.45939999999996</v>
      </c>
      <c r="W243" s="451">
        <f t="shared" si="213"/>
        <v>50</v>
      </c>
      <c r="X243" s="445">
        <f t="shared" si="211"/>
        <v>0</v>
      </c>
      <c r="Y243" s="451"/>
      <c r="Z243" s="451"/>
      <c r="AA243" s="451">
        <f>+AB243+AC243</f>
        <v>1046.4594</v>
      </c>
      <c r="AB243" s="483">
        <f>1000-3.5406</f>
        <v>996.45939999999996</v>
      </c>
      <c r="AC243" s="483">
        <v>50</v>
      </c>
      <c r="AD243" s="451"/>
      <c r="AE243" s="483"/>
      <c r="AF243" s="483"/>
      <c r="AG243" s="451"/>
      <c r="AH243" s="483"/>
      <c r="AI243" s="483"/>
      <c r="AJ243" s="451"/>
      <c r="AK243" s="451"/>
      <c r="AL243" s="15"/>
    </row>
    <row r="244" spans="1:41" ht="30" hidden="1">
      <c r="A244" s="19">
        <f t="shared" si="215"/>
        <v>6</v>
      </c>
      <c r="B244" s="328" t="s">
        <v>1158</v>
      </c>
      <c r="C244" s="8" t="s">
        <v>478</v>
      </c>
      <c r="D244" s="19"/>
      <c r="E244" s="8" t="s">
        <v>483</v>
      </c>
      <c r="F244" s="19" t="s">
        <v>54</v>
      </c>
      <c r="G244" s="445">
        <f>H244+I244</f>
        <v>1323</v>
      </c>
      <c r="H244" s="445">
        <v>1260</v>
      </c>
      <c r="I244" s="445">
        <v>63</v>
      </c>
      <c r="J244" s="451">
        <v>0</v>
      </c>
      <c r="K244" s="483">
        <f>+L244+M244</f>
        <v>9.2000000000000455</v>
      </c>
      <c r="L244" s="451">
        <f>+H244-R244</f>
        <v>9.2000000000000455</v>
      </c>
      <c r="M244" s="451"/>
      <c r="N244" s="483">
        <f>+O244+P244</f>
        <v>9.2999999999999972</v>
      </c>
      <c r="O244" s="451"/>
      <c r="P244" s="451">
        <f>+S244-I244</f>
        <v>9.2999999999999972</v>
      </c>
      <c r="Q244" s="466">
        <v>1323.1</v>
      </c>
      <c r="R244" s="451">
        <v>1250.8</v>
      </c>
      <c r="S244" s="451">
        <v>72.3</v>
      </c>
      <c r="T244" s="141" t="s">
        <v>1162</v>
      </c>
      <c r="U244" s="451">
        <f>+V244+W244</f>
        <v>1323.1</v>
      </c>
      <c r="V244" s="451">
        <f>+Y244+AB244+AE244</f>
        <v>1250.8</v>
      </c>
      <c r="W244" s="451">
        <f>+Z244+AC244+AF244</f>
        <v>72.3</v>
      </c>
      <c r="X244" s="445">
        <f>Y244+Z244</f>
        <v>0</v>
      </c>
      <c r="Y244" s="451"/>
      <c r="Z244" s="451"/>
      <c r="AA244" s="451"/>
      <c r="AB244" s="483"/>
      <c r="AC244" s="483"/>
      <c r="AD244" s="451">
        <f>+AE244+AF244</f>
        <v>1323.1</v>
      </c>
      <c r="AE244" s="483">
        <v>1250.8</v>
      </c>
      <c r="AF244" s="483">
        <v>72.3</v>
      </c>
      <c r="AG244" s="451"/>
      <c r="AH244" s="483"/>
      <c r="AI244" s="483"/>
      <c r="AJ244" s="451"/>
      <c r="AK244" s="451"/>
      <c r="AL244" s="15"/>
    </row>
    <row r="245" spans="1:41" ht="75" hidden="1">
      <c r="A245" s="19">
        <f t="shared" si="215"/>
        <v>7</v>
      </c>
      <c r="B245" s="328" t="s">
        <v>494</v>
      </c>
      <c r="C245" s="8" t="s">
        <v>495</v>
      </c>
      <c r="D245" s="8"/>
      <c r="E245" s="8" t="s">
        <v>496</v>
      </c>
      <c r="F245" s="19" t="s">
        <v>54</v>
      </c>
      <c r="G245" s="445">
        <f>H245+I245</f>
        <v>1050</v>
      </c>
      <c r="H245" s="445">
        <v>1000</v>
      </c>
      <c r="I245" s="445">
        <v>50</v>
      </c>
      <c r="J245" s="451"/>
      <c r="K245" s="483"/>
      <c r="L245" s="451"/>
      <c r="M245" s="451"/>
      <c r="N245" s="483">
        <f>+O245+P245</f>
        <v>105.90000000000009</v>
      </c>
      <c r="O245" s="451">
        <f>+R245-H245</f>
        <v>91.900000000000091</v>
      </c>
      <c r="P245" s="451">
        <f>+S245-I245</f>
        <v>14</v>
      </c>
      <c r="Q245" s="466">
        <v>1155.9000000000001</v>
      </c>
      <c r="R245" s="451">
        <v>1091.9000000000001</v>
      </c>
      <c r="S245" s="451">
        <v>64</v>
      </c>
      <c r="T245" s="451"/>
      <c r="U245" s="451">
        <f>+V245+W245</f>
        <v>1155.9000000000001</v>
      </c>
      <c r="V245" s="451">
        <f>+Y245+AB245+AE245</f>
        <v>1091.9000000000001</v>
      </c>
      <c r="W245" s="451">
        <f>+Z245+AC245+AF245</f>
        <v>64</v>
      </c>
      <c r="X245" s="445">
        <f>Y245+Z245</f>
        <v>0</v>
      </c>
      <c r="Y245" s="451"/>
      <c r="Z245" s="451"/>
      <c r="AA245" s="451"/>
      <c r="AB245" s="483"/>
      <c r="AC245" s="483"/>
      <c r="AD245" s="451">
        <f>+AE245+AF245</f>
        <v>1155.9000000000001</v>
      </c>
      <c r="AE245" s="483">
        <v>1091.9000000000001</v>
      </c>
      <c r="AF245" s="483">
        <v>64</v>
      </c>
      <c r="AG245" s="451"/>
      <c r="AH245" s="483"/>
      <c r="AI245" s="483"/>
      <c r="AJ245" s="451"/>
      <c r="AK245" s="451"/>
      <c r="AL245" s="15"/>
    </row>
    <row r="246" spans="1:41" ht="75" hidden="1">
      <c r="A246" s="19">
        <f t="shared" si="215"/>
        <v>8</v>
      </c>
      <c r="B246" s="328" t="s">
        <v>485</v>
      </c>
      <c r="C246" s="8" t="s">
        <v>486</v>
      </c>
      <c r="D246" s="8"/>
      <c r="E246" s="8" t="s">
        <v>128</v>
      </c>
      <c r="F246" s="19" t="s">
        <v>55</v>
      </c>
      <c r="G246" s="445">
        <f t="shared" si="210"/>
        <v>525</v>
      </c>
      <c r="H246" s="445">
        <v>500</v>
      </c>
      <c r="I246" s="445">
        <v>25</v>
      </c>
      <c r="J246" s="451"/>
      <c r="K246" s="483">
        <f t="shared" ref="K246:K249" si="216">+G246-Q246</f>
        <v>0</v>
      </c>
      <c r="L246" s="451"/>
      <c r="M246" s="451"/>
      <c r="N246" s="483"/>
      <c r="O246" s="451"/>
      <c r="P246" s="451"/>
      <c r="Q246" s="451">
        <f>+R246+S246</f>
        <v>525</v>
      </c>
      <c r="R246" s="483">
        <v>500</v>
      </c>
      <c r="S246" s="483">
        <v>25</v>
      </c>
      <c r="T246" s="451"/>
      <c r="U246" s="451">
        <f t="shared" si="212"/>
        <v>0</v>
      </c>
      <c r="V246" s="451">
        <f t="shared" si="213"/>
        <v>0</v>
      </c>
      <c r="W246" s="451">
        <f t="shared" si="213"/>
        <v>0</v>
      </c>
      <c r="X246" s="445">
        <f t="shared" si="211"/>
        <v>0</v>
      </c>
      <c r="Y246" s="451"/>
      <c r="Z246" s="451"/>
      <c r="AA246" s="451"/>
      <c r="AB246" s="483"/>
      <c r="AC246" s="483"/>
      <c r="AD246" s="451"/>
      <c r="AE246" s="483"/>
      <c r="AF246" s="483"/>
      <c r="AG246" s="451">
        <f>+AH246+AI246</f>
        <v>525</v>
      </c>
      <c r="AH246" s="483">
        <v>500</v>
      </c>
      <c r="AI246" s="483">
        <v>25</v>
      </c>
      <c r="AJ246" s="451"/>
      <c r="AK246" s="451"/>
      <c r="AL246" s="15"/>
    </row>
    <row r="247" spans="1:41" ht="75" hidden="1">
      <c r="A247" s="19">
        <f t="shared" si="215"/>
        <v>9</v>
      </c>
      <c r="B247" s="328" t="s">
        <v>489</v>
      </c>
      <c r="C247" s="8" t="s">
        <v>472</v>
      </c>
      <c r="D247" s="8"/>
      <c r="E247" s="8" t="s">
        <v>159</v>
      </c>
      <c r="F247" s="19" t="s">
        <v>55</v>
      </c>
      <c r="G247" s="445">
        <f t="shared" si="210"/>
        <v>509.25</v>
      </c>
      <c r="H247" s="445">
        <v>485</v>
      </c>
      <c r="I247" s="445">
        <v>24.25</v>
      </c>
      <c r="J247" s="451"/>
      <c r="K247" s="483">
        <f t="shared" si="216"/>
        <v>0</v>
      </c>
      <c r="L247" s="451"/>
      <c r="M247" s="451"/>
      <c r="N247" s="483"/>
      <c r="O247" s="451"/>
      <c r="P247" s="451"/>
      <c r="Q247" s="445">
        <f t="shared" ref="Q247:Q248" si="217">R247+S247</f>
        <v>509.25</v>
      </c>
      <c r="R247" s="445">
        <v>485</v>
      </c>
      <c r="S247" s="445">
        <v>24.25</v>
      </c>
      <c r="T247" s="451"/>
      <c r="U247" s="451">
        <f t="shared" si="212"/>
        <v>0</v>
      </c>
      <c r="V247" s="451">
        <f t="shared" si="213"/>
        <v>0</v>
      </c>
      <c r="W247" s="451">
        <f t="shared" si="213"/>
        <v>0</v>
      </c>
      <c r="X247" s="445">
        <f t="shared" si="211"/>
        <v>0</v>
      </c>
      <c r="Y247" s="451"/>
      <c r="Z247" s="451"/>
      <c r="AA247" s="451"/>
      <c r="AB247" s="483"/>
      <c r="AC247" s="483"/>
      <c r="AD247" s="451"/>
      <c r="AE247" s="483"/>
      <c r="AF247" s="483"/>
      <c r="AG247" s="445">
        <f t="shared" ref="AG247:AG248" si="218">AH247+AI247</f>
        <v>509.25</v>
      </c>
      <c r="AH247" s="445">
        <v>485</v>
      </c>
      <c r="AI247" s="445">
        <v>24.25</v>
      </c>
      <c r="AJ247" s="451"/>
      <c r="AK247" s="451"/>
      <c r="AL247" s="15"/>
    </row>
    <row r="248" spans="1:41" ht="45" hidden="1">
      <c r="A248" s="19">
        <f t="shared" si="215"/>
        <v>10</v>
      </c>
      <c r="B248" s="328" t="s">
        <v>490</v>
      </c>
      <c r="C248" s="8" t="s">
        <v>1173</v>
      </c>
      <c r="D248" s="8"/>
      <c r="E248" s="8" t="s">
        <v>491</v>
      </c>
      <c r="F248" s="19" t="s">
        <v>55</v>
      </c>
      <c r="G248" s="445">
        <f t="shared" si="210"/>
        <v>525</v>
      </c>
      <c r="H248" s="445">
        <v>500</v>
      </c>
      <c r="I248" s="445">
        <v>25</v>
      </c>
      <c r="J248" s="451"/>
      <c r="K248" s="483"/>
      <c r="L248" s="451"/>
      <c r="M248" s="451"/>
      <c r="N248" s="483">
        <f>+O248+P248</f>
        <v>197.26160000000004</v>
      </c>
      <c r="O248" s="451">
        <f>+R248-H248</f>
        <v>197.26160000000004</v>
      </c>
      <c r="P248" s="451">
        <f>+S248-I248</f>
        <v>0</v>
      </c>
      <c r="Q248" s="445">
        <f t="shared" si="217"/>
        <v>722.26160000000004</v>
      </c>
      <c r="R248" s="445">
        <v>697.26160000000004</v>
      </c>
      <c r="S248" s="445">
        <v>25</v>
      </c>
      <c r="T248" s="451"/>
      <c r="U248" s="451">
        <f t="shared" si="212"/>
        <v>0</v>
      </c>
      <c r="V248" s="451">
        <f t="shared" si="213"/>
        <v>0</v>
      </c>
      <c r="W248" s="451">
        <f t="shared" si="213"/>
        <v>0</v>
      </c>
      <c r="X248" s="445">
        <f t="shared" si="211"/>
        <v>0</v>
      </c>
      <c r="Y248" s="451"/>
      <c r="Z248" s="451"/>
      <c r="AA248" s="451"/>
      <c r="AB248" s="483"/>
      <c r="AC248" s="483"/>
      <c r="AD248" s="451"/>
      <c r="AE248" s="483"/>
      <c r="AF248" s="483"/>
      <c r="AG248" s="445">
        <f t="shared" si="218"/>
        <v>722.26160000000004</v>
      </c>
      <c r="AH248" s="445">
        <v>697.26160000000004</v>
      </c>
      <c r="AI248" s="445">
        <v>25</v>
      </c>
      <c r="AJ248" s="451"/>
      <c r="AK248" s="451"/>
      <c r="AL248" s="15"/>
    </row>
    <row r="249" spans="1:41" ht="45" hidden="1">
      <c r="A249" s="19">
        <f t="shared" si="215"/>
        <v>11</v>
      </c>
      <c r="B249" s="328" t="s">
        <v>1172</v>
      </c>
      <c r="C249" s="8" t="s">
        <v>1173</v>
      </c>
      <c r="D249" s="8"/>
      <c r="E249" s="8" t="s">
        <v>493</v>
      </c>
      <c r="F249" s="19" t="s">
        <v>55</v>
      </c>
      <c r="G249" s="445">
        <f t="shared" si="210"/>
        <v>630</v>
      </c>
      <c r="H249" s="445">
        <v>600</v>
      </c>
      <c r="I249" s="445">
        <v>30</v>
      </c>
      <c r="J249" s="451"/>
      <c r="K249" s="483">
        <f t="shared" si="216"/>
        <v>0</v>
      </c>
      <c r="L249" s="451"/>
      <c r="M249" s="451"/>
      <c r="N249" s="483"/>
      <c r="O249" s="451"/>
      <c r="P249" s="451"/>
      <c r="Q249" s="445">
        <f>R249+S249</f>
        <v>630</v>
      </c>
      <c r="R249" s="445">
        <v>600</v>
      </c>
      <c r="S249" s="445">
        <v>30</v>
      </c>
      <c r="T249" s="141" t="s">
        <v>1162</v>
      </c>
      <c r="U249" s="451">
        <f t="shared" si="212"/>
        <v>0</v>
      </c>
      <c r="V249" s="451">
        <f t="shared" si="213"/>
        <v>0</v>
      </c>
      <c r="W249" s="451">
        <f t="shared" si="213"/>
        <v>0</v>
      </c>
      <c r="X249" s="445">
        <f t="shared" si="211"/>
        <v>0</v>
      </c>
      <c r="Y249" s="451"/>
      <c r="Z249" s="451"/>
      <c r="AA249" s="451"/>
      <c r="AB249" s="483"/>
      <c r="AC249" s="483"/>
      <c r="AD249" s="451"/>
      <c r="AE249" s="483"/>
      <c r="AF249" s="483"/>
      <c r="AG249" s="445">
        <f>AH249+AI249</f>
        <v>630</v>
      </c>
      <c r="AH249" s="445">
        <v>600</v>
      </c>
      <c r="AI249" s="445">
        <v>30</v>
      </c>
      <c r="AJ249" s="451"/>
      <c r="AK249" s="451"/>
      <c r="AL249" s="15"/>
    </row>
    <row r="250" spans="1:41" ht="75" hidden="1">
      <c r="A250" s="19">
        <f t="shared" si="215"/>
        <v>12</v>
      </c>
      <c r="B250" s="328" t="s">
        <v>986</v>
      </c>
      <c r="C250" s="8" t="s">
        <v>498</v>
      </c>
      <c r="D250" s="8"/>
      <c r="E250" s="8" t="s">
        <v>326</v>
      </c>
      <c r="F250" s="19" t="s">
        <v>55</v>
      </c>
      <c r="G250" s="445">
        <f t="shared" si="210"/>
        <v>996.69</v>
      </c>
      <c r="H250" s="445">
        <v>949.23</v>
      </c>
      <c r="I250" s="445">
        <v>47.46</v>
      </c>
      <c r="J250" s="451"/>
      <c r="K250" s="483">
        <f>+L250+M250</f>
        <v>19</v>
      </c>
      <c r="L250" s="451">
        <f>+H250-R250</f>
        <v>0</v>
      </c>
      <c r="M250" s="451">
        <f>+I250-S250</f>
        <v>19</v>
      </c>
      <c r="N250" s="483"/>
      <c r="O250" s="451"/>
      <c r="P250" s="451"/>
      <c r="Q250" s="445">
        <f t="shared" ref="Q250" si="219">R250+S250</f>
        <v>977.69</v>
      </c>
      <c r="R250" s="445">
        <v>949.23</v>
      </c>
      <c r="S250" s="445">
        <v>28.46</v>
      </c>
      <c r="T250" s="451"/>
      <c r="U250" s="451">
        <f t="shared" si="212"/>
        <v>0</v>
      </c>
      <c r="V250" s="451">
        <f t="shared" si="213"/>
        <v>0</v>
      </c>
      <c r="W250" s="451">
        <f t="shared" si="213"/>
        <v>0</v>
      </c>
      <c r="X250" s="445">
        <f t="shared" si="211"/>
        <v>0</v>
      </c>
      <c r="Y250" s="451"/>
      <c r="Z250" s="451"/>
      <c r="AA250" s="451"/>
      <c r="AB250" s="483"/>
      <c r="AC250" s="483"/>
      <c r="AD250" s="451"/>
      <c r="AE250" s="483"/>
      <c r="AF250" s="483"/>
      <c r="AG250" s="445">
        <f t="shared" ref="AG250" si="220">AH250+AI250</f>
        <v>977.69</v>
      </c>
      <c r="AH250" s="445">
        <v>949.23</v>
      </c>
      <c r="AI250" s="445">
        <v>28.46</v>
      </c>
      <c r="AJ250" s="451"/>
      <c r="AK250" s="451"/>
      <c r="AL250" s="15"/>
    </row>
    <row r="251" spans="1:41" ht="30" hidden="1">
      <c r="A251" s="19">
        <f t="shared" si="215"/>
        <v>13</v>
      </c>
      <c r="B251" s="328" t="s">
        <v>487</v>
      </c>
      <c r="C251" s="8" t="s">
        <v>472</v>
      </c>
      <c r="D251" s="8"/>
      <c r="E251" s="8" t="s">
        <v>488</v>
      </c>
      <c r="F251" s="19" t="s">
        <v>55</v>
      </c>
      <c r="G251" s="445">
        <f t="shared" si="210"/>
        <v>420</v>
      </c>
      <c r="H251" s="445">
        <v>400</v>
      </c>
      <c r="I251" s="445">
        <v>20</v>
      </c>
      <c r="J251" s="451"/>
      <c r="K251" s="445">
        <f t="shared" ref="K251" si="221">L251+M251</f>
        <v>420</v>
      </c>
      <c r="L251" s="445">
        <v>400</v>
      </c>
      <c r="M251" s="445">
        <v>20</v>
      </c>
      <c r="N251" s="483"/>
      <c r="O251" s="451"/>
      <c r="P251" s="451"/>
      <c r="Q251" s="451"/>
      <c r="R251" s="483"/>
      <c r="S251" s="483"/>
      <c r="T251" s="544" t="s">
        <v>1174</v>
      </c>
      <c r="U251" s="451">
        <f t="shared" si="212"/>
        <v>0</v>
      </c>
      <c r="V251" s="451">
        <f t="shared" si="213"/>
        <v>0</v>
      </c>
      <c r="W251" s="451">
        <f t="shared" si="213"/>
        <v>0</v>
      </c>
      <c r="X251" s="445">
        <f t="shared" si="211"/>
        <v>0</v>
      </c>
      <c r="Y251" s="451"/>
      <c r="Z251" s="451"/>
      <c r="AA251" s="451"/>
      <c r="AB251" s="483"/>
      <c r="AC251" s="483"/>
      <c r="AD251" s="451"/>
      <c r="AE251" s="483"/>
      <c r="AF251" s="483"/>
      <c r="AG251" s="451"/>
      <c r="AH251" s="483"/>
      <c r="AI251" s="483"/>
      <c r="AJ251" s="451"/>
      <c r="AK251" s="451"/>
      <c r="AL251" s="15"/>
    </row>
    <row r="252" spans="1:41" s="14" customFormat="1" ht="23.25" customHeight="1">
      <c r="A252" s="4" t="s">
        <v>1003</v>
      </c>
      <c r="B252" s="507" t="s">
        <v>500</v>
      </c>
      <c r="C252" s="418"/>
      <c r="D252" s="418"/>
      <c r="E252" s="417">
        <v>0</v>
      </c>
      <c r="F252" s="417"/>
      <c r="G252" s="446">
        <f>SUM(G253:G284)</f>
        <v>11087.65</v>
      </c>
      <c r="H252" s="446">
        <f t="shared" ref="H252:AK252" si="222">SUM(H253:H284)</f>
        <v>10562.25</v>
      </c>
      <c r="I252" s="446">
        <f t="shared" si="222"/>
        <v>525.4</v>
      </c>
      <c r="J252" s="446">
        <f t="shared" si="222"/>
        <v>0</v>
      </c>
      <c r="K252" s="446">
        <f t="shared" si="222"/>
        <v>2042.37</v>
      </c>
      <c r="L252" s="446">
        <f t="shared" si="222"/>
        <v>1931.46</v>
      </c>
      <c r="M252" s="446">
        <f t="shared" si="222"/>
        <v>110.91</v>
      </c>
      <c r="N252" s="446">
        <f t="shared" si="222"/>
        <v>2042.37</v>
      </c>
      <c r="O252" s="446">
        <f t="shared" si="222"/>
        <v>1931.46</v>
      </c>
      <c r="P252" s="446">
        <f t="shared" si="222"/>
        <v>110.91</v>
      </c>
      <c r="Q252" s="446">
        <f t="shared" si="222"/>
        <v>11087.65</v>
      </c>
      <c r="R252" s="446">
        <f t="shared" si="222"/>
        <v>10562.249999999998</v>
      </c>
      <c r="S252" s="446">
        <f t="shared" si="222"/>
        <v>525.4</v>
      </c>
      <c r="T252" s="446"/>
      <c r="U252" s="446">
        <f t="shared" si="222"/>
        <v>7403.64</v>
      </c>
      <c r="V252" s="446">
        <f t="shared" si="222"/>
        <v>7022.44</v>
      </c>
      <c r="W252" s="446">
        <f t="shared" si="222"/>
        <v>381.2</v>
      </c>
      <c r="X252" s="446">
        <f t="shared" si="222"/>
        <v>1995</v>
      </c>
      <c r="Y252" s="446">
        <f t="shared" si="222"/>
        <v>1901</v>
      </c>
      <c r="Z252" s="446">
        <f t="shared" si="222"/>
        <v>94</v>
      </c>
      <c r="AA252" s="446">
        <f t="shared" si="222"/>
        <v>2686.14</v>
      </c>
      <c r="AB252" s="446">
        <f t="shared" si="222"/>
        <v>2548.54</v>
      </c>
      <c r="AC252" s="446">
        <f t="shared" si="222"/>
        <v>137.6</v>
      </c>
      <c r="AD252" s="446">
        <f t="shared" si="222"/>
        <v>2722.5</v>
      </c>
      <c r="AE252" s="446">
        <f t="shared" si="222"/>
        <v>2572.9</v>
      </c>
      <c r="AF252" s="446">
        <f t="shared" si="222"/>
        <v>149.60000000000002</v>
      </c>
      <c r="AG252" s="446">
        <f t="shared" si="222"/>
        <v>3684.0099999999998</v>
      </c>
      <c r="AH252" s="446">
        <f t="shared" si="222"/>
        <v>3539.81</v>
      </c>
      <c r="AI252" s="446">
        <f t="shared" si="222"/>
        <v>144.20000000000002</v>
      </c>
      <c r="AJ252" s="446"/>
      <c r="AK252" s="446">
        <f t="shared" si="222"/>
        <v>0</v>
      </c>
      <c r="AL252" s="16"/>
      <c r="AM252" s="368">
        <f>+'NĂM 2022'!K78+'NĂM 2023'!N98+'NĂM 2024'!J90+'NĂM 2025'!J86</f>
        <v>11087.65</v>
      </c>
      <c r="AN252" s="368">
        <f>+'NĂM 2022'!L78+'NĂM 2023'!O98+'NĂM 2024'!K90+'NĂM 2025'!K86</f>
        <v>10562.25</v>
      </c>
      <c r="AO252" s="368">
        <f>+'NĂM 2022'!M78+'NĂM 2023'!P98+'NĂM 2024'!L90+'NĂM 2025'!L86</f>
        <v>525.4</v>
      </c>
    </row>
    <row r="253" spans="1:41" ht="75" hidden="1">
      <c r="A253" s="8">
        <v>1</v>
      </c>
      <c r="B253" s="328" t="s">
        <v>501</v>
      </c>
      <c r="C253" s="8" t="s">
        <v>502</v>
      </c>
      <c r="D253" s="8"/>
      <c r="E253" s="8" t="s">
        <v>94</v>
      </c>
      <c r="F253" s="8" t="s">
        <v>52</v>
      </c>
      <c r="G253" s="505">
        <f>H253+I253</f>
        <v>430.5</v>
      </c>
      <c r="H253" s="505">
        <v>410</v>
      </c>
      <c r="I253" s="505">
        <v>20.5</v>
      </c>
      <c r="J253" s="511">
        <v>0</v>
      </c>
      <c r="K253" s="484">
        <f>+G253-Q253</f>
        <v>0</v>
      </c>
      <c r="L253" s="511"/>
      <c r="M253" s="511"/>
      <c r="N253" s="484"/>
      <c r="O253" s="511"/>
      <c r="P253" s="511"/>
      <c r="Q253" s="450">
        <f>+R253+S253</f>
        <v>430.5</v>
      </c>
      <c r="R253" s="511">
        <v>410</v>
      </c>
      <c r="S253" s="511">
        <v>20.5</v>
      </c>
      <c r="T253" s="511"/>
      <c r="U253" s="511">
        <f>+V253+W253</f>
        <v>430.5</v>
      </c>
      <c r="V253" s="511">
        <f>+Y253+AB253+AE253</f>
        <v>410</v>
      </c>
      <c r="W253" s="511">
        <f>+Z253+AC253+AF253</f>
        <v>20.5</v>
      </c>
      <c r="X253" s="505">
        <f>Y253+Z253</f>
        <v>430.5</v>
      </c>
      <c r="Y253" s="505">
        <v>410</v>
      </c>
      <c r="Z253" s="505">
        <v>20.5</v>
      </c>
      <c r="AA253" s="505"/>
      <c r="AB253" s="505"/>
      <c r="AC253" s="505"/>
      <c r="AD253" s="505"/>
      <c r="AE253" s="505"/>
      <c r="AF253" s="505"/>
      <c r="AG253" s="505"/>
      <c r="AH253" s="505"/>
      <c r="AI253" s="505"/>
      <c r="AJ253" s="505"/>
      <c r="AK253" s="451"/>
      <c r="AL253" s="15"/>
      <c r="AM253" s="506">
        <f>+G252-U252</f>
        <v>3684.0099999999993</v>
      </c>
      <c r="AN253" s="506">
        <f>+H252-V252</f>
        <v>3539.8100000000004</v>
      </c>
      <c r="AO253" s="506">
        <f>+I252-W252</f>
        <v>144.19999999999999</v>
      </c>
    </row>
    <row r="254" spans="1:41" ht="75" hidden="1">
      <c r="A254" s="8">
        <f>+A253+1</f>
        <v>2</v>
      </c>
      <c r="B254" s="328" t="s">
        <v>503</v>
      </c>
      <c r="C254" s="8" t="s">
        <v>504</v>
      </c>
      <c r="D254" s="8"/>
      <c r="E254" s="8" t="s">
        <v>94</v>
      </c>
      <c r="F254" s="8" t="s">
        <v>52</v>
      </c>
      <c r="G254" s="505">
        <f>H254+I254</f>
        <v>430.5</v>
      </c>
      <c r="H254" s="505">
        <v>410</v>
      </c>
      <c r="I254" s="505">
        <v>20.5</v>
      </c>
      <c r="J254" s="511">
        <v>0</v>
      </c>
      <c r="K254" s="484">
        <f t="shared" ref="K254:K276" si="223">+G254-Q254</f>
        <v>0</v>
      </c>
      <c r="L254" s="511"/>
      <c r="M254" s="511"/>
      <c r="N254" s="484"/>
      <c r="O254" s="511"/>
      <c r="P254" s="511"/>
      <c r="Q254" s="450">
        <f t="shared" ref="Q254:Q275" si="224">+R254+S254</f>
        <v>430.5</v>
      </c>
      <c r="R254" s="511">
        <v>410</v>
      </c>
      <c r="S254" s="511">
        <v>20.5</v>
      </c>
      <c r="T254" s="511"/>
      <c r="U254" s="511">
        <f t="shared" ref="U254:U284" si="225">+V254+W254</f>
        <v>430.5</v>
      </c>
      <c r="V254" s="511">
        <f t="shared" ref="V254:W278" si="226">+Y254+AB254+AE254</f>
        <v>410</v>
      </c>
      <c r="W254" s="511">
        <f t="shared" si="226"/>
        <v>20.5</v>
      </c>
      <c r="X254" s="505">
        <f>Y254+Z254</f>
        <v>430.5</v>
      </c>
      <c r="Y254" s="505">
        <v>410</v>
      </c>
      <c r="Z254" s="505">
        <v>20.5</v>
      </c>
      <c r="AA254" s="505"/>
      <c r="AB254" s="505"/>
      <c r="AC254" s="505"/>
      <c r="AD254" s="505"/>
      <c r="AE254" s="505"/>
      <c r="AF254" s="505"/>
      <c r="AG254" s="505"/>
      <c r="AH254" s="505"/>
      <c r="AI254" s="505"/>
      <c r="AJ254" s="505"/>
      <c r="AK254" s="451"/>
      <c r="AL254" s="15"/>
      <c r="AM254" s="506">
        <f>+AM253-AG252</f>
        <v>0</v>
      </c>
      <c r="AN254" s="506">
        <f t="shared" ref="AN254:AO254" si="227">+AN253-AH252</f>
        <v>0</v>
      </c>
      <c r="AO254" s="506">
        <f t="shared" si="227"/>
        <v>0</v>
      </c>
    </row>
    <row r="255" spans="1:41" ht="75" hidden="1">
      <c r="A255" s="8">
        <f t="shared" ref="A255:A284" si="228">+A254+1</f>
        <v>3</v>
      </c>
      <c r="B255" s="328" t="s">
        <v>505</v>
      </c>
      <c r="C255" s="8" t="s">
        <v>506</v>
      </c>
      <c r="D255" s="8"/>
      <c r="E255" s="8" t="s">
        <v>94</v>
      </c>
      <c r="F255" s="8" t="s">
        <v>52</v>
      </c>
      <c r="G255" s="505">
        <f t="shared" ref="G255:G284" si="229">H255+I255</f>
        <v>430.5</v>
      </c>
      <c r="H255" s="505">
        <v>410</v>
      </c>
      <c r="I255" s="505">
        <v>20.5</v>
      </c>
      <c r="J255" s="511">
        <v>0</v>
      </c>
      <c r="K255" s="484">
        <f t="shared" si="223"/>
        <v>0</v>
      </c>
      <c r="L255" s="511"/>
      <c r="M255" s="511"/>
      <c r="N255" s="484"/>
      <c r="O255" s="511"/>
      <c r="P255" s="511"/>
      <c r="Q255" s="450">
        <f t="shared" si="224"/>
        <v>430.5</v>
      </c>
      <c r="R255" s="511">
        <v>410</v>
      </c>
      <c r="S255" s="511">
        <v>20.5</v>
      </c>
      <c r="T255" s="511"/>
      <c r="U255" s="511">
        <f t="shared" si="225"/>
        <v>430.5</v>
      </c>
      <c r="V255" s="511">
        <f t="shared" si="226"/>
        <v>410</v>
      </c>
      <c r="W255" s="511">
        <f t="shared" si="226"/>
        <v>20.5</v>
      </c>
      <c r="X255" s="505">
        <f>Y255+Z255</f>
        <v>430.5</v>
      </c>
      <c r="Y255" s="505">
        <v>410</v>
      </c>
      <c r="Z255" s="505">
        <v>20.5</v>
      </c>
      <c r="AA255" s="505"/>
      <c r="AB255" s="505"/>
      <c r="AC255" s="505"/>
      <c r="AD255" s="505"/>
      <c r="AE255" s="505"/>
      <c r="AF255" s="505"/>
      <c r="AG255" s="505"/>
      <c r="AH255" s="505"/>
      <c r="AI255" s="505"/>
      <c r="AJ255" s="505"/>
      <c r="AK255" s="451"/>
      <c r="AL255" s="15"/>
    </row>
    <row r="256" spans="1:41" ht="75" hidden="1">
      <c r="A256" s="8">
        <f t="shared" si="228"/>
        <v>4</v>
      </c>
      <c r="B256" s="376" t="s">
        <v>817</v>
      </c>
      <c r="C256" s="8" t="s">
        <v>507</v>
      </c>
      <c r="D256" s="8"/>
      <c r="E256" s="8" t="s">
        <v>159</v>
      </c>
      <c r="F256" s="8" t="s">
        <v>52</v>
      </c>
      <c r="G256" s="505">
        <f>H256+I256</f>
        <v>100.7</v>
      </c>
      <c r="H256" s="505">
        <v>96</v>
      </c>
      <c r="I256" s="505">
        <v>4.7</v>
      </c>
      <c r="J256" s="511">
        <v>0</v>
      </c>
      <c r="K256" s="484">
        <f t="shared" si="223"/>
        <v>0</v>
      </c>
      <c r="L256" s="511"/>
      <c r="M256" s="511"/>
      <c r="N256" s="484"/>
      <c r="O256" s="511"/>
      <c r="P256" s="511"/>
      <c r="Q256" s="450">
        <f t="shared" si="224"/>
        <v>100.7</v>
      </c>
      <c r="R256" s="511">
        <v>96</v>
      </c>
      <c r="S256" s="511">
        <v>4.7</v>
      </c>
      <c r="T256" s="511"/>
      <c r="U256" s="511">
        <f t="shared" si="225"/>
        <v>100.7</v>
      </c>
      <c r="V256" s="511">
        <f t="shared" si="226"/>
        <v>96</v>
      </c>
      <c r="W256" s="511">
        <f t="shared" si="226"/>
        <v>4.7</v>
      </c>
      <c r="X256" s="505">
        <f t="shared" ref="X256:X284" si="230">Y256+Z256</f>
        <v>100.7</v>
      </c>
      <c r="Y256" s="505">
        <v>96</v>
      </c>
      <c r="Z256" s="505">
        <v>4.7</v>
      </c>
      <c r="AA256" s="505"/>
      <c r="AB256" s="505"/>
      <c r="AC256" s="505"/>
      <c r="AD256" s="505"/>
      <c r="AE256" s="505"/>
      <c r="AF256" s="505"/>
      <c r="AG256" s="505"/>
      <c r="AH256" s="505"/>
      <c r="AI256" s="505"/>
      <c r="AJ256" s="505"/>
      <c r="AK256" s="451"/>
      <c r="AL256" s="15"/>
    </row>
    <row r="257" spans="1:44" ht="75" hidden="1">
      <c r="A257" s="8">
        <f t="shared" si="228"/>
        <v>5</v>
      </c>
      <c r="B257" s="328" t="s">
        <v>508</v>
      </c>
      <c r="C257" s="8" t="s">
        <v>509</v>
      </c>
      <c r="D257" s="8"/>
      <c r="E257" s="8" t="s">
        <v>510</v>
      </c>
      <c r="F257" s="8" t="s">
        <v>52</v>
      </c>
      <c r="G257" s="505">
        <f>H257+I257</f>
        <v>503</v>
      </c>
      <c r="H257" s="505">
        <v>480</v>
      </c>
      <c r="I257" s="505">
        <v>23</v>
      </c>
      <c r="J257" s="511">
        <v>0</v>
      </c>
      <c r="K257" s="484">
        <f t="shared" si="223"/>
        <v>0</v>
      </c>
      <c r="L257" s="511"/>
      <c r="M257" s="511"/>
      <c r="N257" s="484"/>
      <c r="O257" s="511"/>
      <c r="P257" s="511"/>
      <c r="Q257" s="450">
        <f t="shared" si="224"/>
        <v>503</v>
      </c>
      <c r="R257" s="511">
        <v>480</v>
      </c>
      <c r="S257" s="511">
        <v>23</v>
      </c>
      <c r="T257" s="511"/>
      <c r="U257" s="511">
        <f t="shared" si="225"/>
        <v>503</v>
      </c>
      <c r="V257" s="511">
        <f t="shared" si="226"/>
        <v>480</v>
      </c>
      <c r="W257" s="511">
        <f t="shared" si="226"/>
        <v>23</v>
      </c>
      <c r="X257" s="505">
        <f>Y257+Z257</f>
        <v>503</v>
      </c>
      <c r="Y257" s="505">
        <v>480</v>
      </c>
      <c r="Z257" s="505">
        <v>23</v>
      </c>
      <c r="AA257" s="505"/>
      <c r="AB257" s="505"/>
      <c r="AC257" s="505"/>
      <c r="AD257" s="505"/>
      <c r="AE257" s="505"/>
      <c r="AF257" s="505"/>
      <c r="AG257" s="505"/>
      <c r="AH257" s="505"/>
      <c r="AI257" s="505"/>
      <c r="AJ257" s="505"/>
      <c r="AK257" s="451"/>
      <c r="AL257" s="15"/>
    </row>
    <row r="258" spans="1:44" ht="75" hidden="1">
      <c r="A258" s="8">
        <f t="shared" si="228"/>
        <v>6</v>
      </c>
      <c r="B258" s="376" t="s">
        <v>818</v>
      </c>
      <c r="C258" s="8" t="s">
        <v>511</v>
      </c>
      <c r="D258" s="8"/>
      <c r="E258" s="8" t="s">
        <v>159</v>
      </c>
      <c r="F258" s="8" t="s">
        <v>52</v>
      </c>
      <c r="G258" s="505">
        <f>H258+I258</f>
        <v>99.8</v>
      </c>
      <c r="H258" s="505">
        <v>95</v>
      </c>
      <c r="I258" s="505">
        <v>4.8</v>
      </c>
      <c r="J258" s="511">
        <v>0</v>
      </c>
      <c r="K258" s="484">
        <f t="shared" si="223"/>
        <v>0</v>
      </c>
      <c r="L258" s="511"/>
      <c r="M258" s="511"/>
      <c r="N258" s="484"/>
      <c r="O258" s="511"/>
      <c r="P258" s="511"/>
      <c r="Q258" s="450">
        <f t="shared" si="224"/>
        <v>99.8</v>
      </c>
      <c r="R258" s="511">
        <v>95</v>
      </c>
      <c r="S258" s="511">
        <v>4.8</v>
      </c>
      <c r="T258" s="511"/>
      <c r="U258" s="511">
        <f t="shared" si="225"/>
        <v>99.8</v>
      </c>
      <c r="V258" s="511">
        <f t="shared" si="226"/>
        <v>95</v>
      </c>
      <c r="W258" s="511">
        <f t="shared" si="226"/>
        <v>4.8</v>
      </c>
      <c r="X258" s="505">
        <f>Y258+Z258</f>
        <v>99.8</v>
      </c>
      <c r="Y258" s="505">
        <v>95</v>
      </c>
      <c r="Z258" s="505">
        <v>4.8</v>
      </c>
      <c r="AA258" s="505"/>
      <c r="AB258" s="505"/>
      <c r="AC258" s="505"/>
      <c r="AD258" s="505"/>
      <c r="AE258" s="505"/>
      <c r="AF258" s="505"/>
      <c r="AG258" s="505"/>
      <c r="AH258" s="505"/>
      <c r="AI258" s="505"/>
      <c r="AJ258" s="505"/>
      <c r="AK258" s="451"/>
      <c r="AL258" s="15"/>
    </row>
    <row r="259" spans="1:44" ht="75" hidden="1">
      <c r="A259" s="8">
        <f t="shared" si="228"/>
        <v>7</v>
      </c>
      <c r="B259" s="328" t="s">
        <v>512</v>
      </c>
      <c r="C259" s="8" t="s">
        <v>513</v>
      </c>
      <c r="D259" s="8"/>
      <c r="E259" s="8" t="s">
        <v>94</v>
      </c>
      <c r="F259" s="8" t="s">
        <v>53</v>
      </c>
      <c r="G259" s="505">
        <f t="shared" si="229"/>
        <v>483</v>
      </c>
      <c r="H259" s="505">
        <v>460</v>
      </c>
      <c r="I259" s="505">
        <v>23</v>
      </c>
      <c r="J259" s="451">
        <v>0</v>
      </c>
      <c r="K259" s="484"/>
      <c r="L259" s="451"/>
      <c r="M259" s="451"/>
      <c r="N259" s="483">
        <f>+O259+P259</f>
        <v>44</v>
      </c>
      <c r="O259" s="451">
        <f t="shared" ref="O259:P262" si="231">+R259-H259</f>
        <v>40</v>
      </c>
      <c r="P259" s="451">
        <f t="shared" si="231"/>
        <v>4</v>
      </c>
      <c r="Q259" s="450">
        <f t="shared" si="224"/>
        <v>527</v>
      </c>
      <c r="R259" s="451">
        <v>500</v>
      </c>
      <c r="S259" s="451">
        <v>27</v>
      </c>
      <c r="T259" s="451"/>
      <c r="U259" s="511">
        <f t="shared" si="225"/>
        <v>527</v>
      </c>
      <c r="V259" s="511">
        <f t="shared" si="226"/>
        <v>500</v>
      </c>
      <c r="W259" s="511">
        <f t="shared" si="226"/>
        <v>27</v>
      </c>
      <c r="X259" s="445">
        <f t="shared" si="230"/>
        <v>0</v>
      </c>
      <c r="Y259" s="451"/>
      <c r="Z259" s="451"/>
      <c r="AA259" s="451">
        <f>+AB259+AC259</f>
        <v>527</v>
      </c>
      <c r="AB259" s="451">
        <v>500</v>
      </c>
      <c r="AC259" s="451">
        <v>27</v>
      </c>
      <c r="AD259" s="451"/>
      <c r="AE259" s="451"/>
      <c r="AF259" s="451"/>
      <c r="AG259" s="451"/>
      <c r="AH259" s="451"/>
      <c r="AI259" s="451"/>
      <c r="AJ259" s="451"/>
      <c r="AK259" s="451"/>
      <c r="AL259" s="15"/>
    </row>
    <row r="260" spans="1:44" ht="75" hidden="1">
      <c r="A260" s="8">
        <f t="shared" si="228"/>
        <v>8</v>
      </c>
      <c r="B260" s="328" t="s">
        <v>514</v>
      </c>
      <c r="C260" s="8" t="s">
        <v>515</v>
      </c>
      <c r="D260" s="8"/>
      <c r="E260" s="8" t="s">
        <v>286</v>
      </c>
      <c r="F260" s="8" t="s">
        <v>53</v>
      </c>
      <c r="G260" s="505">
        <f>H260+I260</f>
        <v>483</v>
      </c>
      <c r="H260" s="505">
        <v>460</v>
      </c>
      <c r="I260" s="505">
        <v>23</v>
      </c>
      <c r="J260" s="451">
        <v>0</v>
      </c>
      <c r="K260" s="484"/>
      <c r="L260" s="451"/>
      <c r="M260" s="451"/>
      <c r="N260" s="483">
        <f>+O260+P260</f>
        <v>44</v>
      </c>
      <c r="O260" s="451">
        <f t="shared" si="231"/>
        <v>40</v>
      </c>
      <c r="P260" s="451">
        <f t="shared" si="231"/>
        <v>4</v>
      </c>
      <c r="Q260" s="450">
        <f t="shared" si="224"/>
        <v>527</v>
      </c>
      <c r="R260" s="451">
        <v>500</v>
      </c>
      <c r="S260" s="451">
        <v>27</v>
      </c>
      <c r="T260" s="451"/>
      <c r="U260" s="511">
        <f t="shared" si="225"/>
        <v>527</v>
      </c>
      <c r="V260" s="511">
        <f t="shared" si="226"/>
        <v>500</v>
      </c>
      <c r="W260" s="511">
        <f t="shared" si="226"/>
        <v>27</v>
      </c>
      <c r="X260" s="445">
        <f t="shared" si="230"/>
        <v>0</v>
      </c>
      <c r="Y260" s="451"/>
      <c r="Z260" s="451"/>
      <c r="AA260" s="451">
        <f>+AB260+AC260</f>
        <v>527</v>
      </c>
      <c r="AB260" s="451">
        <v>500</v>
      </c>
      <c r="AC260" s="451">
        <v>27</v>
      </c>
      <c r="AD260" s="451"/>
      <c r="AE260" s="451"/>
      <c r="AF260" s="451"/>
      <c r="AG260" s="451"/>
      <c r="AH260" s="451"/>
      <c r="AI260" s="451"/>
      <c r="AJ260" s="451"/>
      <c r="AK260" s="451"/>
      <c r="AL260" s="15"/>
    </row>
    <row r="261" spans="1:44" ht="75" hidden="1">
      <c r="A261" s="8">
        <f t="shared" si="228"/>
        <v>9</v>
      </c>
      <c r="B261" s="328" t="s">
        <v>516</v>
      </c>
      <c r="C261" s="8" t="s">
        <v>511</v>
      </c>
      <c r="D261" s="8"/>
      <c r="E261" s="8" t="s">
        <v>94</v>
      </c>
      <c r="F261" s="8" t="s">
        <v>53</v>
      </c>
      <c r="G261" s="505">
        <f t="shared" si="229"/>
        <v>430.5</v>
      </c>
      <c r="H261" s="505">
        <v>410</v>
      </c>
      <c r="I261" s="505">
        <v>20.5</v>
      </c>
      <c r="J261" s="451">
        <v>0</v>
      </c>
      <c r="K261" s="484"/>
      <c r="L261" s="451"/>
      <c r="M261" s="451"/>
      <c r="N261" s="483">
        <f>+O261+P261</f>
        <v>87.9</v>
      </c>
      <c r="O261" s="451">
        <f t="shared" si="231"/>
        <v>80</v>
      </c>
      <c r="P261" s="451">
        <f t="shared" si="231"/>
        <v>7.8999999999999986</v>
      </c>
      <c r="Q261" s="450">
        <f t="shared" si="224"/>
        <v>518.4</v>
      </c>
      <c r="R261" s="451">
        <v>490</v>
      </c>
      <c r="S261" s="451">
        <v>28.4</v>
      </c>
      <c r="T261" s="451"/>
      <c r="U261" s="511">
        <f t="shared" si="225"/>
        <v>518.4</v>
      </c>
      <c r="V261" s="511">
        <f t="shared" si="226"/>
        <v>490</v>
      </c>
      <c r="W261" s="511">
        <f t="shared" si="226"/>
        <v>28.4</v>
      </c>
      <c r="X261" s="445">
        <f t="shared" si="230"/>
        <v>0</v>
      </c>
      <c r="Y261" s="451"/>
      <c r="Z261" s="451"/>
      <c r="AA261" s="451"/>
      <c r="AB261" s="451"/>
      <c r="AC261" s="451"/>
      <c r="AD261" s="451">
        <f>+AE261+AF261</f>
        <v>518.4</v>
      </c>
      <c r="AE261" s="451">
        <v>490</v>
      </c>
      <c r="AF261" s="451">
        <v>28.4</v>
      </c>
      <c r="AG261" s="451"/>
      <c r="AH261" s="451"/>
      <c r="AI261" s="451"/>
      <c r="AJ261" s="451"/>
      <c r="AK261" s="451"/>
      <c r="AL261" s="15"/>
    </row>
    <row r="262" spans="1:44" ht="75" hidden="1">
      <c r="A262" s="8">
        <f t="shared" si="228"/>
        <v>10</v>
      </c>
      <c r="B262" s="328" t="s">
        <v>809</v>
      </c>
      <c r="C262" s="8" t="s">
        <v>334</v>
      </c>
      <c r="D262" s="8"/>
      <c r="E262" s="8" t="s">
        <v>94</v>
      </c>
      <c r="F262" s="8" t="s">
        <v>53</v>
      </c>
      <c r="G262" s="505">
        <f t="shared" si="229"/>
        <v>430.5</v>
      </c>
      <c r="H262" s="505">
        <v>410</v>
      </c>
      <c r="I262" s="505">
        <v>20.5</v>
      </c>
      <c r="J262" s="451">
        <v>0</v>
      </c>
      <c r="K262" s="484"/>
      <c r="L262" s="451"/>
      <c r="M262" s="451"/>
      <c r="N262" s="483">
        <f>+O262+P262</f>
        <v>43.5</v>
      </c>
      <c r="O262" s="451">
        <f t="shared" si="231"/>
        <v>40</v>
      </c>
      <c r="P262" s="451">
        <f t="shared" si="231"/>
        <v>3.5</v>
      </c>
      <c r="Q262" s="450">
        <f t="shared" si="224"/>
        <v>474</v>
      </c>
      <c r="R262" s="451">
        <v>450</v>
      </c>
      <c r="S262" s="451">
        <v>24</v>
      </c>
      <c r="T262" s="451"/>
      <c r="U262" s="511">
        <f t="shared" si="225"/>
        <v>474</v>
      </c>
      <c r="V262" s="511">
        <f t="shared" si="226"/>
        <v>450</v>
      </c>
      <c r="W262" s="511">
        <f t="shared" si="226"/>
        <v>24</v>
      </c>
      <c r="X262" s="445">
        <f t="shared" si="230"/>
        <v>0</v>
      </c>
      <c r="Y262" s="451"/>
      <c r="Z262" s="451"/>
      <c r="AA262" s="451">
        <f>+AB262+AC262</f>
        <v>474</v>
      </c>
      <c r="AB262" s="451">
        <v>450</v>
      </c>
      <c r="AC262" s="451">
        <v>24</v>
      </c>
      <c r="AD262" s="451"/>
      <c r="AE262" s="451"/>
      <c r="AF262" s="451"/>
      <c r="AG262" s="451"/>
      <c r="AH262" s="451"/>
      <c r="AI262" s="451"/>
      <c r="AJ262" s="451"/>
      <c r="AK262" s="451"/>
      <c r="AL262" s="15"/>
    </row>
    <row r="263" spans="1:44" ht="75" hidden="1">
      <c r="A263" s="8">
        <f t="shared" si="228"/>
        <v>11</v>
      </c>
      <c r="B263" s="376" t="s">
        <v>819</v>
      </c>
      <c r="C263" s="375" t="s">
        <v>334</v>
      </c>
      <c r="D263" s="8"/>
      <c r="E263" s="8" t="s">
        <v>159</v>
      </c>
      <c r="F263" s="8" t="s">
        <v>53</v>
      </c>
      <c r="G263" s="505">
        <f t="shared" si="229"/>
        <v>420</v>
      </c>
      <c r="H263" s="505">
        <v>400</v>
      </c>
      <c r="I263" s="505">
        <v>20</v>
      </c>
      <c r="J263" s="451">
        <v>0</v>
      </c>
      <c r="K263" s="484">
        <f>+L263+M263</f>
        <v>209</v>
      </c>
      <c r="L263" s="451">
        <f>+H263-R263</f>
        <v>200</v>
      </c>
      <c r="M263" s="451">
        <f>+I263-S263</f>
        <v>9</v>
      </c>
      <c r="N263" s="483"/>
      <c r="O263" s="451"/>
      <c r="P263" s="451"/>
      <c r="Q263" s="450">
        <f t="shared" si="224"/>
        <v>211</v>
      </c>
      <c r="R263" s="451">
        <v>200</v>
      </c>
      <c r="S263" s="451">
        <v>11</v>
      </c>
      <c r="T263" s="451"/>
      <c r="U263" s="511">
        <f t="shared" si="225"/>
        <v>211</v>
      </c>
      <c r="V263" s="511">
        <f t="shared" si="226"/>
        <v>200</v>
      </c>
      <c r="W263" s="511">
        <f t="shared" si="226"/>
        <v>11</v>
      </c>
      <c r="X263" s="445">
        <f t="shared" si="230"/>
        <v>0</v>
      </c>
      <c r="Y263" s="451"/>
      <c r="Z263" s="451"/>
      <c r="AA263" s="451">
        <f>+AB263+AC263</f>
        <v>211</v>
      </c>
      <c r="AB263" s="451">
        <v>200</v>
      </c>
      <c r="AC263" s="451">
        <v>11</v>
      </c>
      <c r="AD263" s="451"/>
      <c r="AE263" s="451"/>
      <c r="AF263" s="451"/>
      <c r="AG263" s="451"/>
      <c r="AH263" s="451"/>
      <c r="AI263" s="451"/>
      <c r="AJ263" s="451"/>
      <c r="AK263" s="451"/>
      <c r="AL263" s="15"/>
    </row>
    <row r="264" spans="1:44" ht="75" hidden="1">
      <c r="A264" s="8">
        <f t="shared" si="228"/>
        <v>12</v>
      </c>
      <c r="B264" s="376" t="s">
        <v>820</v>
      </c>
      <c r="C264" s="8" t="s">
        <v>511</v>
      </c>
      <c r="D264" s="8"/>
      <c r="E264" s="8" t="s">
        <v>159</v>
      </c>
      <c r="F264" s="8" t="s">
        <v>53</v>
      </c>
      <c r="G264" s="505">
        <f t="shared" si="229"/>
        <v>420</v>
      </c>
      <c r="H264" s="505">
        <v>400</v>
      </c>
      <c r="I264" s="505">
        <v>20</v>
      </c>
      <c r="J264" s="451">
        <v>0</v>
      </c>
      <c r="K264" s="484">
        <f>+L264+M264</f>
        <v>104.85999999999999</v>
      </c>
      <c r="L264" s="451">
        <f>+H264-R264</f>
        <v>101.45999999999998</v>
      </c>
      <c r="M264" s="451">
        <f>+I264-S264</f>
        <v>3.3999999999999986</v>
      </c>
      <c r="N264" s="483"/>
      <c r="O264" s="451"/>
      <c r="P264" s="451"/>
      <c r="Q264" s="450">
        <f t="shared" si="224"/>
        <v>315.14000000000004</v>
      </c>
      <c r="R264" s="451">
        <v>298.54000000000002</v>
      </c>
      <c r="S264" s="451">
        <v>16.600000000000001</v>
      </c>
      <c r="T264" s="451"/>
      <c r="U264" s="511">
        <f t="shared" si="225"/>
        <v>315.14000000000004</v>
      </c>
      <c r="V264" s="511">
        <f t="shared" si="226"/>
        <v>298.54000000000002</v>
      </c>
      <c r="W264" s="511">
        <f t="shared" si="226"/>
        <v>16.600000000000001</v>
      </c>
      <c r="X264" s="445">
        <f t="shared" si="230"/>
        <v>0</v>
      </c>
      <c r="Y264" s="451"/>
      <c r="Z264" s="451"/>
      <c r="AA264" s="451">
        <f>+AB264+AC264</f>
        <v>315.14000000000004</v>
      </c>
      <c r="AB264" s="451">
        <v>298.54000000000002</v>
      </c>
      <c r="AC264" s="451">
        <v>16.600000000000001</v>
      </c>
      <c r="AD264" s="451"/>
      <c r="AE264" s="451"/>
      <c r="AF264" s="451"/>
      <c r="AG264" s="451"/>
      <c r="AH264" s="451"/>
      <c r="AI264" s="451"/>
      <c r="AJ264" s="451"/>
      <c r="AK264" s="451"/>
      <c r="AL264" s="15"/>
    </row>
    <row r="265" spans="1:44" ht="75" hidden="1">
      <c r="A265" s="8">
        <f t="shared" si="228"/>
        <v>13</v>
      </c>
      <c r="B265" s="328" t="s">
        <v>517</v>
      </c>
      <c r="C265" s="8" t="s">
        <v>506</v>
      </c>
      <c r="D265" s="8"/>
      <c r="E265" s="8" t="s">
        <v>159</v>
      </c>
      <c r="F265" s="8" t="s">
        <v>53</v>
      </c>
      <c r="G265" s="505">
        <f t="shared" si="229"/>
        <v>420</v>
      </c>
      <c r="H265" s="505">
        <v>400</v>
      </c>
      <c r="I265" s="505">
        <v>20</v>
      </c>
      <c r="J265" s="451">
        <v>0</v>
      </c>
      <c r="K265" s="484"/>
      <c r="L265" s="451"/>
      <c r="M265" s="451"/>
      <c r="N265" s="483">
        <f>+O265+P265</f>
        <v>212</v>
      </c>
      <c r="O265" s="451">
        <f t="shared" ref="O265:P269" si="232">+R265-H265</f>
        <v>200</v>
      </c>
      <c r="P265" s="451">
        <f t="shared" si="232"/>
        <v>12</v>
      </c>
      <c r="Q265" s="450">
        <f t="shared" si="224"/>
        <v>632</v>
      </c>
      <c r="R265" s="451">
        <v>600</v>
      </c>
      <c r="S265" s="451">
        <v>32</v>
      </c>
      <c r="T265" s="451"/>
      <c r="U265" s="511">
        <f t="shared" si="225"/>
        <v>632</v>
      </c>
      <c r="V265" s="511">
        <f t="shared" si="226"/>
        <v>600</v>
      </c>
      <c r="W265" s="511">
        <f t="shared" si="226"/>
        <v>32</v>
      </c>
      <c r="X265" s="445">
        <f t="shared" si="230"/>
        <v>0</v>
      </c>
      <c r="Y265" s="451"/>
      <c r="Z265" s="451"/>
      <c r="AA265" s="451">
        <f>+AB265+AC265</f>
        <v>632</v>
      </c>
      <c r="AB265" s="451">
        <v>600</v>
      </c>
      <c r="AC265" s="451">
        <v>32</v>
      </c>
      <c r="AD265" s="451"/>
      <c r="AE265" s="451"/>
      <c r="AF265" s="451"/>
      <c r="AG265" s="451"/>
      <c r="AH265" s="451"/>
      <c r="AI265" s="451"/>
      <c r="AJ265" s="451"/>
      <c r="AK265" s="451"/>
      <c r="AL265" s="15"/>
    </row>
    <row r="266" spans="1:44" ht="30" hidden="1">
      <c r="A266" s="8">
        <f t="shared" si="228"/>
        <v>14</v>
      </c>
      <c r="B266" s="328" t="s">
        <v>524</v>
      </c>
      <c r="C266" s="8" t="s">
        <v>513</v>
      </c>
      <c r="D266" s="8"/>
      <c r="E266" s="8" t="s">
        <v>525</v>
      </c>
      <c r="F266" s="8" t="s">
        <v>54</v>
      </c>
      <c r="G266" s="445">
        <f t="shared" si="229"/>
        <v>210</v>
      </c>
      <c r="H266" s="445">
        <v>200</v>
      </c>
      <c r="I266" s="445">
        <v>10</v>
      </c>
      <c r="J266" s="451">
        <v>0</v>
      </c>
      <c r="K266" s="484"/>
      <c r="L266" s="451"/>
      <c r="M266" s="451"/>
      <c r="N266" s="483">
        <f>+O266+P266</f>
        <v>267</v>
      </c>
      <c r="O266" s="451">
        <f t="shared" si="232"/>
        <v>250</v>
      </c>
      <c r="P266" s="451">
        <f t="shared" si="232"/>
        <v>17</v>
      </c>
      <c r="Q266" s="450">
        <f t="shared" si="224"/>
        <v>477</v>
      </c>
      <c r="R266" s="451">
        <v>450</v>
      </c>
      <c r="S266" s="451">
        <v>27</v>
      </c>
      <c r="T266" s="451"/>
      <c r="U266" s="511">
        <f t="shared" si="225"/>
        <v>477</v>
      </c>
      <c r="V266" s="511">
        <f t="shared" si="226"/>
        <v>450</v>
      </c>
      <c r="W266" s="511">
        <f t="shared" si="226"/>
        <v>27</v>
      </c>
      <c r="X266" s="445">
        <f t="shared" si="230"/>
        <v>0</v>
      </c>
      <c r="Y266" s="451"/>
      <c r="Z266" s="451"/>
      <c r="AA266" s="451"/>
      <c r="AB266" s="451"/>
      <c r="AC266" s="451"/>
      <c r="AD266" s="451">
        <f>+AE266+AF266</f>
        <v>477</v>
      </c>
      <c r="AE266" s="451">
        <v>450</v>
      </c>
      <c r="AF266" s="451">
        <v>27</v>
      </c>
      <c r="AG266" s="451"/>
      <c r="AH266" s="451"/>
      <c r="AI266" s="451"/>
      <c r="AJ266" s="451"/>
      <c r="AK266" s="451"/>
      <c r="AL266" s="15"/>
    </row>
    <row r="267" spans="1:44" ht="75" hidden="1">
      <c r="A267" s="8">
        <f t="shared" si="228"/>
        <v>15</v>
      </c>
      <c r="B267" s="376" t="s">
        <v>821</v>
      </c>
      <c r="C267" s="375" t="s">
        <v>334</v>
      </c>
      <c r="D267" s="8"/>
      <c r="E267" s="8" t="s">
        <v>159</v>
      </c>
      <c r="F267" s="8" t="s">
        <v>54</v>
      </c>
      <c r="G267" s="505">
        <f>H267+I267</f>
        <v>452.5</v>
      </c>
      <c r="H267" s="505">
        <v>431</v>
      </c>
      <c r="I267" s="505">
        <v>21.5</v>
      </c>
      <c r="J267" s="451">
        <v>0</v>
      </c>
      <c r="K267" s="484"/>
      <c r="L267" s="451"/>
      <c r="M267" s="451"/>
      <c r="N267" s="483">
        <f>+O267+P267</f>
        <v>322.79999999999995</v>
      </c>
      <c r="O267" s="451">
        <f t="shared" si="232"/>
        <v>301.89999999999998</v>
      </c>
      <c r="P267" s="451">
        <f t="shared" si="232"/>
        <v>20.9</v>
      </c>
      <c r="Q267" s="450">
        <f t="shared" si="224"/>
        <v>775.3</v>
      </c>
      <c r="R267" s="451">
        <v>732.9</v>
      </c>
      <c r="S267" s="451">
        <v>42.4</v>
      </c>
      <c r="T267" s="451"/>
      <c r="U267" s="511">
        <f t="shared" si="225"/>
        <v>775.3</v>
      </c>
      <c r="V267" s="511">
        <f t="shared" si="226"/>
        <v>732.9</v>
      </c>
      <c r="W267" s="511">
        <f t="shared" si="226"/>
        <v>42.4</v>
      </c>
      <c r="X267" s="445">
        <f t="shared" si="230"/>
        <v>0</v>
      </c>
      <c r="Y267" s="451"/>
      <c r="Z267" s="451"/>
      <c r="AA267" s="451"/>
      <c r="AB267" s="451"/>
      <c r="AC267" s="451"/>
      <c r="AD267" s="451">
        <f>+AE267+AF267</f>
        <v>775.3</v>
      </c>
      <c r="AE267" s="451">
        <v>732.9</v>
      </c>
      <c r="AF267" s="451">
        <v>42.4</v>
      </c>
      <c r="AG267" s="451"/>
      <c r="AH267" s="451"/>
      <c r="AI267" s="451"/>
      <c r="AJ267" s="451"/>
      <c r="AK267" s="451"/>
      <c r="AL267" s="15"/>
    </row>
    <row r="268" spans="1:44" s="365" customFormat="1" ht="75" hidden="1">
      <c r="A268" s="8">
        <f t="shared" si="228"/>
        <v>16</v>
      </c>
      <c r="B268" s="328" t="s">
        <v>526</v>
      </c>
      <c r="C268" s="8" t="s">
        <v>515</v>
      </c>
      <c r="D268" s="8"/>
      <c r="E268" s="8" t="s">
        <v>527</v>
      </c>
      <c r="F268" s="8" t="s">
        <v>54</v>
      </c>
      <c r="G268" s="505">
        <f t="shared" si="229"/>
        <v>420</v>
      </c>
      <c r="H268" s="505">
        <v>400</v>
      </c>
      <c r="I268" s="505">
        <v>20</v>
      </c>
      <c r="J268" s="451">
        <v>0</v>
      </c>
      <c r="K268" s="484"/>
      <c r="L268" s="451"/>
      <c r="M268" s="451"/>
      <c r="N268" s="483">
        <f>+O268+P268</f>
        <v>267.5</v>
      </c>
      <c r="O268" s="451">
        <f t="shared" si="232"/>
        <v>250</v>
      </c>
      <c r="P268" s="451">
        <f t="shared" si="232"/>
        <v>17.5</v>
      </c>
      <c r="Q268" s="450">
        <f t="shared" si="224"/>
        <v>687.5</v>
      </c>
      <c r="R268" s="451">
        <v>650</v>
      </c>
      <c r="S268" s="451">
        <v>37.5</v>
      </c>
      <c r="T268" s="451"/>
      <c r="U268" s="511">
        <f t="shared" si="225"/>
        <v>687.5</v>
      </c>
      <c r="V268" s="511">
        <f t="shared" si="226"/>
        <v>650</v>
      </c>
      <c r="W268" s="511">
        <f t="shared" si="226"/>
        <v>37.5</v>
      </c>
      <c r="X268" s="445">
        <f t="shared" si="230"/>
        <v>0</v>
      </c>
      <c r="Y268" s="451"/>
      <c r="Z268" s="451"/>
      <c r="AA268" s="451"/>
      <c r="AB268" s="451"/>
      <c r="AC268" s="451"/>
      <c r="AD268" s="451">
        <f>+AE268+AF268</f>
        <v>687.5</v>
      </c>
      <c r="AE268" s="451">
        <v>650</v>
      </c>
      <c r="AF268" s="451">
        <v>37.5</v>
      </c>
      <c r="AG268" s="451"/>
      <c r="AH268" s="451"/>
      <c r="AI268" s="451"/>
      <c r="AJ268" s="451"/>
      <c r="AK268" s="451"/>
      <c r="AL268" s="15"/>
      <c r="AP268" s="1"/>
      <c r="AQ268" s="1"/>
      <c r="AR268" s="1"/>
    </row>
    <row r="269" spans="1:44" s="365" customFormat="1" ht="30" hidden="1">
      <c r="A269" s="8">
        <f t="shared" si="228"/>
        <v>17</v>
      </c>
      <c r="B269" s="328" t="s">
        <v>536</v>
      </c>
      <c r="C269" s="8" t="s">
        <v>515</v>
      </c>
      <c r="D269" s="8"/>
      <c r="E269" s="8" t="s">
        <v>537</v>
      </c>
      <c r="F269" s="8" t="s">
        <v>54</v>
      </c>
      <c r="G269" s="445">
        <f t="shared" si="229"/>
        <v>210</v>
      </c>
      <c r="H269" s="445">
        <v>200</v>
      </c>
      <c r="I269" s="445">
        <v>10</v>
      </c>
      <c r="J269" s="451">
        <v>0</v>
      </c>
      <c r="K269" s="484"/>
      <c r="L269" s="451"/>
      <c r="M269" s="451"/>
      <c r="N269" s="483">
        <f>+O269+P269</f>
        <v>54.3</v>
      </c>
      <c r="O269" s="451">
        <f t="shared" si="232"/>
        <v>50</v>
      </c>
      <c r="P269" s="451">
        <f t="shared" si="232"/>
        <v>4.3000000000000007</v>
      </c>
      <c r="Q269" s="450">
        <f t="shared" si="224"/>
        <v>264.3</v>
      </c>
      <c r="R269" s="451">
        <v>250</v>
      </c>
      <c r="S269" s="451">
        <v>14.3</v>
      </c>
      <c r="T269" s="451"/>
      <c r="U269" s="511">
        <f t="shared" si="225"/>
        <v>264.3</v>
      </c>
      <c r="V269" s="511">
        <f t="shared" si="226"/>
        <v>250</v>
      </c>
      <c r="W269" s="511">
        <f t="shared" si="226"/>
        <v>14.3</v>
      </c>
      <c r="X269" s="445">
        <f t="shared" si="230"/>
        <v>0</v>
      </c>
      <c r="Y269" s="451"/>
      <c r="Z269" s="451"/>
      <c r="AA269" s="451"/>
      <c r="AB269" s="451"/>
      <c r="AC269" s="451"/>
      <c r="AD269" s="451">
        <f>+AE269+AF269</f>
        <v>264.3</v>
      </c>
      <c r="AE269" s="451">
        <v>250</v>
      </c>
      <c r="AF269" s="451">
        <v>14.3</v>
      </c>
      <c r="AG269" s="451"/>
      <c r="AH269" s="451"/>
      <c r="AI269" s="451"/>
      <c r="AJ269" s="451"/>
      <c r="AK269" s="451"/>
      <c r="AL269" s="15"/>
      <c r="AP269" s="1"/>
      <c r="AQ269" s="1"/>
      <c r="AR269" s="1"/>
    </row>
    <row r="270" spans="1:44" s="365" customFormat="1" ht="30" hidden="1">
      <c r="A270" s="8">
        <f t="shared" si="228"/>
        <v>18</v>
      </c>
      <c r="B270" s="328" t="s">
        <v>518</v>
      </c>
      <c r="C270" s="8" t="s">
        <v>502</v>
      </c>
      <c r="D270" s="8"/>
      <c r="E270" s="8" t="s">
        <v>519</v>
      </c>
      <c r="F270" s="8" t="s">
        <v>55</v>
      </c>
      <c r="G270" s="505">
        <f>H270+I270</f>
        <v>157.5</v>
      </c>
      <c r="H270" s="505">
        <v>150</v>
      </c>
      <c r="I270" s="505">
        <v>7.5</v>
      </c>
      <c r="J270" s="451">
        <v>0</v>
      </c>
      <c r="K270" s="484">
        <f>+L270+M270</f>
        <v>32.61</v>
      </c>
      <c r="L270" s="451">
        <f>+H270-R270</f>
        <v>30</v>
      </c>
      <c r="M270" s="451">
        <f>+I270-S270</f>
        <v>2.6100000000000003</v>
      </c>
      <c r="N270" s="483"/>
      <c r="O270" s="451"/>
      <c r="P270" s="451"/>
      <c r="Q270" s="451">
        <f t="shared" si="224"/>
        <v>124.89</v>
      </c>
      <c r="R270" s="451">
        <v>120</v>
      </c>
      <c r="S270" s="451">
        <v>4.8899999999999997</v>
      </c>
      <c r="T270" s="451"/>
      <c r="U270" s="511">
        <f>+V270+W270</f>
        <v>0</v>
      </c>
      <c r="V270" s="511">
        <f t="shared" si="226"/>
        <v>0</v>
      </c>
      <c r="W270" s="511">
        <f t="shared" si="226"/>
        <v>0</v>
      </c>
      <c r="X270" s="445">
        <f>Y270+Z270</f>
        <v>0</v>
      </c>
      <c r="Y270" s="451"/>
      <c r="Z270" s="451"/>
      <c r="AA270" s="451"/>
      <c r="AB270" s="451"/>
      <c r="AC270" s="451"/>
      <c r="AD270" s="451"/>
      <c r="AE270" s="451"/>
      <c r="AF270" s="451"/>
      <c r="AG270" s="451">
        <f t="shared" ref="AG270:AG275" si="233">+AH270+AI270</f>
        <v>124.89</v>
      </c>
      <c r="AH270" s="451">
        <v>120</v>
      </c>
      <c r="AI270" s="451">
        <v>4.8899999999999997</v>
      </c>
      <c r="AJ270" s="451"/>
      <c r="AK270" s="451"/>
      <c r="AL270" s="15"/>
      <c r="AP270" s="1"/>
      <c r="AQ270" s="1"/>
      <c r="AR270" s="1"/>
    </row>
    <row r="271" spans="1:44" s="365" customFormat="1" ht="75" hidden="1">
      <c r="A271" s="8">
        <f t="shared" si="228"/>
        <v>19</v>
      </c>
      <c r="B271" s="376" t="s">
        <v>822</v>
      </c>
      <c r="C271" s="8" t="s">
        <v>511</v>
      </c>
      <c r="D271" s="8"/>
      <c r="E271" s="8" t="s">
        <v>159</v>
      </c>
      <c r="F271" s="8" t="s">
        <v>55</v>
      </c>
      <c r="G271" s="505">
        <f>H271+I271</f>
        <v>420</v>
      </c>
      <c r="H271" s="505">
        <v>400</v>
      </c>
      <c r="I271" s="505">
        <v>20</v>
      </c>
      <c r="J271" s="451">
        <v>0</v>
      </c>
      <c r="K271" s="484"/>
      <c r="L271" s="451"/>
      <c r="M271" s="451"/>
      <c r="N271" s="483">
        <f>+O271+P271</f>
        <v>100.37</v>
      </c>
      <c r="O271" s="451">
        <f>+R271-H271</f>
        <v>100</v>
      </c>
      <c r="P271" s="451">
        <f>+S271-I271</f>
        <v>0.37000000000000099</v>
      </c>
      <c r="Q271" s="451">
        <f t="shared" si="224"/>
        <v>520.37</v>
      </c>
      <c r="R271" s="451">
        <v>500</v>
      </c>
      <c r="S271" s="451">
        <v>20.37</v>
      </c>
      <c r="T271" s="451"/>
      <c r="U271" s="511">
        <f>+V271+W271</f>
        <v>0</v>
      </c>
      <c r="V271" s="511">
        <f t="shared" si="226"/>
        <v>0</v>
      </c>
      <c r="W271" s="511">
        <f t="shared" si="226"/>
        <v>0</v>
      </c>
      <c r="X271" s="445">
        <f>Y271+Z271</f>
        <v>0</v>
      </c>
      <c r="Y271" s="451"/>
      <c r="Z271" s="451"/>
      <c r="AA271" s="451"/>
      <c r="AB271" s="451"/>
      <c r="AC271" s="451"/>
      <c r="AD271" s="451"/>
      <c r="AE271" s="451"/>
      <c r="AF271" s="451"/>
      <c r="AG271" s="451">
        <f t="shared" si="233"/>
        <v>520.37</v>
      </c>
      <c r="AH271" s="451">
        <v>500</v>
      </c>
      <c r="AI271" s="451">
        <v>20.37</v>
      </c>
      <c r="AJ271" s="451"/>
      <c r="AK271" s="451"/>
      <c r="AL271" s="15"/>
      <c r="AP271" s="1"/>
      <c r="AQ271" s="1"/>
      <c r="AR271" s="1"/>
    </row>
    <row r="272" spans="1:44" s="365" customFormat="1" ht="30" hidden="1">
      <c r="A272" s="8">
        <f t="shared" si="228"/>
        <v>20</v>
      </c>
      <c r="B272" s="328" t="s">
        <v>528</v>
      </c>
      <c r="C272" s="8" t="s">
        <v>529</v>
      </c>
      <c r="D272" s="8"/>
      <c r="E272" s="8" t="s">
        <v>530</v>
      </c>
      <c r="F272" s="8" t="s">
        <v>55</v>
      </c>
      <c r="G272" s="445">
        <f>H272+I272</f>
        <v>313.39999999999998</v>
      </c>
      <c r="H272" s="445">
        <v>300</v>
      </c>
      <c r="I272" s="445">
        <v>13.4</v>
      </c>
      <c r="J272" s="451">
        <v>0</v>
      </c>
      <c r="K272" s="484">
        <f t="shared" si="223"/>
        <v>0</v>
      </c>
      <c r="L272" s="451"/>
      <c r="M272" s="451"/>
      <c r="N272" s="483"/>
      <c r="O272" s="451"/>
      <c r="P272" s="451"/>
      <c r="Q272" s="451">
        <f t="shared" si="224"/>
        <v>313.39999999999998</v>
      </c>
      <c r="R272" s="451">
        <v>300</v>
      </c>
      <c r="S272" s="451">
        <v>13.4</v>
      </c>
      <c r="T272" s="451"/>
      <c r="U272" s="511">
        <f>+V272+W272</f>
        <v>0</v>
      </c>
      <c r="V272" s="511">
        <f t="shared" si="226"/>
        <v>0</v>
      </c>
      <c r="W272" s="511">
        <f t="shared" si="226"/>
        <v>0</v>
      </c>
      <c r="X272" s="445">
        <f>Y272+Z272</f>
        <v>0</v>
      </c>
      <c r="Y272" s="451"/>
      <c r="Z272" s="451"/>
      <c r="AA272" s="451"/>
      <c r="AB272" s="451"/>
      <c r="AC272" s="451"/>
      <c r="AD272" s="451"/>
      <c r="AE272" s="451"/>
      <c r="AF272" s="451"/>
      <c r="AG272" s="451">
        <f t="shared" si="233"/>
        <v>313.39999999999998</v>
      </c>
      <c r="AH272" s="451">
        <v>300</v>
      </c>
      <c r="AI272" s="451">
        <v>13.4</v>
      </c>
      <c r="AJ272" s="451"/>
      <c r="AK272" s="451"/>
      <c r="AL272" s="15"/>
      <c r="AP272" s="1"/>
      <c r="AQ272" s="1"/>
      <c r="AR272" s="1"/>
    </row>
    <row r="273" spans="1:44" s="365" customFormat="1" ht="30" hidden="1">
      <c r="A273" s="8">
        <f t="shared" si="228"/>
        <v>21</v>
      </c>
      <c r="B273" s="328" t="s">
        <v>531</v>
      </c>
      <c r="C273" s="8" t="s">
        <v>509</v>
      </c>
      <c r="D273" s="8"/>
      <c r="E273" s="8" t="s">
        <v>532</v>
      </c>
      <c r="F273" s="8" t="s">
        <v>55</v>
      </c>
      <c r="G273" s="505">
        <f>H273+I273</f>
        <v>262.5</v>
      </c>
      <c r="H273" s="505">
        <v>250</v>
      </c>
      <c r="I273" s="505">
        <v>12.5</v>
      </c>
      <c r="J273" s="451">
        <v>0</v>
      </c>
      <c r="K273" s="484">
        <f t="shared" si="223"/>
        <v>0</v>
      </c>
      <c r="L273" s="451"/>
      <c r="M273" s="451"/>
      <c r="N273" s="483"/>
      <c r="O273" s="451"/>
      <c r="P273" s="451"/>
      <c r="Q273" s="451">
        <f t="shared" si="224"/>
        <v>262.5</v>
      </c>
      <c r="R273" s="451">
        <v>250</v>
      </c>
      <c r="S273" s="451">
        <v>12.5</v>
      </c>
      <c r="T273" s="451"/>
      <c r="U273" s="511">
        <f>+V273+W273</f>
        <v>0</v>
      </c>
      <c r="V273" s="511">
        <f t="shared" si="226"/>
        <v>0</v>
      </c>
      <c r="W273" s="511">
        <f t="shared" si="226"/>
        <v>0</v>
      </c>
      <c r="X273" s="445">
        <f>Y273+Z273</f>
        <v>0</v>
      </c>
      <c r="Y273" s="451"/>
      <c r="Z273" s="451"/>
      <c r="AA273" s="451"/>
      <c r="AB273" s="451"/>
      <c r="AC273" s="451"/>
      <c r="AD273" s="451"/>
      <c r="AE273" s="451"/>
      <c r="AF273" s="451"/>
      <c r="AG273" s="451">
        <f t="shared" si="233"/>
        <v>262.5</v>
      </c>
      <c r="AH273" s="451">
        <v>250</v>
      </c>
      <c r="AI273" s="451">
        <v>12.5</v>
      </c>
      <c r="AJ273" s="451"/>
      <c r="AK273" s="451"/>
      <c r="AL273" s="15"/>
      <c r="AP273" s="1"/>
      <c r="AQ273" s="1"/>
      <c r="AR273" s="1"/>
    </row>
    <row r="274" spans="1:44" s="365" customFormat="1" ht="30" hidden="1">
      <c r="A274" s="8">
        <f t="shared" si="228"/>
        <v>22</v>
      </c>
      <c r="B274" s="376" t="s">
        <v>810</v>
      </c>
      <c r="C274" s="375" t="s">
        <v>334</v>
      </c>
      <c r="D274" s="8"/>
      <c r="E274" s="8" t="s">
        <v>533</v>
      </c>
      <c r="F274" s="8" t="s">
        <v>55</v>
      </c>
      <c r="G274" s="445">
        <f>H274+I274</f>
        <v>315</v>
      </c>
      <c r="H274" s="445">
        <v>300</v>
      </c>
      <c r="I274" s="445">
        <v>15</v>
      </c>
      <c r="J274" s="451">
        <v>0</v>
      </c>
      <c r="K274" s="484">
        <f>+L274+M274</f>
        <v>10.5</v>
      </c>
      <c r="L274" s="451"/>
      <c r="M274" s="451">
        <f>+I274-S274</f>
        <v>10.5</v>
      </c>
      <c r="N274" s="483">
        <f>+O274+P274</f>
        <v>9.8100000000000023</v>
      </c>
      <c r="O274" s="451">
        <f>+R274-H274</f>
        <v>9.8100000000000023</v>
      </c>
      <c r="P274" s="451"/>
      <c r="Q274" s="451">
        <f t="shared" si="224"/>
        <v>314.31</v>
      </c>
      <c r="R274" s="451">
        <v>309.81</v>
      </c>
      <c r="S274" s="451">
        <v>4.5</v>
      </c>
      <c r="T274" s="451"/>
      <c r="U274" s="511">
        <f>+V274+W274</f>
        <v>0</v>
      </c>
      <c r="V274" s="511">
        <f t="shared" si="226"/>
        <v>0</v>
      </c>
      <c r="W274" s="511">
        <f t="shared" si="226"/>
        <v>0</v>
      </c>
      <c r="X274" s="445">
        <f>Y274+Z274</f>
        <v>0</v>
      </c>
      <c r="Y274" s="451"/>
      <c r="Z274" s="451"/>
      <c r="AA274" s="451"/>
      <c r="AB274" s="451"/>
      <c r="AC274" s="451"/>
      <c r="AD274" s="451"/>
      <c r="AE274" s="451"/>
      <c r="AF274" s="451"/>
      <c r="AG274" s="451">
        <f t="shared" si="233"/>
        <v>314.31</v>
      </c>
      <c r="AH274" s="451">
        <v>309.81</v>
      </c>
      <c r="AI274" s="451">
        <v>4.5</v>
      </c>
      <c r="AJ274" s="451"/>
      <c r="AK274" s="451"/>
      <c r="AL274" s="15"/>
      <c r="AP274" s="1"/>
      <c r="AQ274" s="1"/>
      <c r="AR274" s="1"/>
    </row>
    <row r="275" spans="1:44" s="365" customFormat="1" ht="75" hidden="1">
      <c r="A275" s="8">
        <f t="shared" si="228"/>
        <v>23</v>
      </c>
      <c r="B275" s="376" t="s">
        <v>823</v>
      </c>
      <c r="C275" s="8" t="s">
        <v>334</v>
      </c>
      <c r="D275" s="8"/>
      <c r="E275" s="8" t="s">
        <v>159</v>
      </c>
      <c r="F275" s="8" t="s">
        <v>55</v>
      </c>
      <c r="G275" s="445">
        <f t="shared" si="229"/>
        <v>525</v>
      </c>
      <c r="H275" s="445">
        <v>500</v>
      </c>
      <c r="I275" s="445">
        <v>25</v>
      </c>
      <c r="J275" s="451">
        <v>0</v>
      </c>
      <c r="K275" s="484">
        <f>+L275+M275</f>
        <v>25.45</v>
      </c>
      <c r="L275" s="451">
        <f>+H275-R275</f>
        <v>20</v>
      </c>
      <c r="M275" s="451">
        <f>+I275-S275</f>
        <v>5.4499999999999993</v>
      </c>
      <c r="N275" s="483"/>
      <c r="O275" s="451"/>
      <c r="P275" s="451"/>
      <c r="Q275" s="451">
        <f t="shared" si="224"/>
        <v>499.55</v>
      </c>
      <c r="R275" s="451">
        <v>480</v>
      </c>
      <c r="S275" s="451">
        <v>19.55</v>
      </c>
      <c r="T275" s="451"/>
      <c r="U275" s="511">
        <f t="shared" si="225"/>
        <v>0</v>
      </c>
      <c r="V275" s="511">
        <f t="shared" si="226"/>
        <v>0</v>
      </c>
      <c r="W275" s="511">
        <f t="shared" si="226"/>
        <v>0</v>
      </c>
      <c r="X275" s="445">
        <f t="shared" si="230"/>
        <v>0</v>
      </c>
      <c r="Y275" s="451"/>
      <c r="Z275" s="451"/>
      <c r="AA275" s="451"/>
      <c r="AB275" s="451"/>
      <c r="AC275" s="451"/>
      <c r="AD275" s="451"/>
      <c r="AE275" s="451"/>
      <c r="AF275" s="451"/>
      <c r="AG275" s="451">
        <f t="shared" si="233"/>
        <v>499.55</v>
      </c>
      <c r="AH275" s="451">
        <v>480</v>
      </c>
      <c r="AI275" s="451">
        <v>19.55</v>
      </c>
      <c r="AJ275" s="451"/>
      <c r="AK275" s="451"/>
      <c r="AL275" s="15"/>
      <c r="AP275" s="1"/>
      <c r="AQ275" s="1"/>
      <c r="AR275" s="1"/>
    </row>
    <row r="276" spans="1:44" s="365" customFormat="1" ht="75" hidden="1">
      <c r="A276" s="8">
        <f t="shared" si="228"/>
        <v>24</v>
      </c>
      <c r="B276" s="376" t="s">
        <v>824</v>
      </c>
      <c r="C276" s="8" t="s">
        <v>511</v>
      </c>
      <c r="D276" s="8"/>
      <c r="E276" s="8" t="s">
        <v>159</v>
      </c>
      <c r="F276" s="8">
        <v>2025</v>
      </c>
      <c r="G276" s="445">
        <f t="shared" si="229"/>
        <v>525</v>
      </c>
      <c r="H276" s="445">
        <v>500</v>
      </c>
      <c r="I276" s="445">
        <v>25</v>
      </c>
      <c r="J276" s="451">
        <v>0</v>
      </c>
      <c r="K276" s="484">
        <f t="shared" si="223"/>
        <v>0</v>
      </c>
      <c r="L276" s="451"/>
      <c r="M276" s="451"/>
      <c r="N276" s="483"/>
      <c r="O276" s="451"/>
      <c r="P276" s="451"/>
      <c r="Q276" s="445">
        <f t="shared" ref="Q276" si="234">R276+S276</f>
        <v>525</v>
      </c>
      <c r="R276" s="445">
        <v>500</v>
      </c>
      <c r="S276" s="445">
        <v>25</v>
      </c>
      <c r="T276" s="451"/>
      <c r="U276" s="511">
        <f t="shared" si="225"/>
        <v>0</v>
      </c>
      <c r="V276" s="511">
        <f t="shared" si="226"/>
        <v>0</v>
      </c>
      <c r="W276" s="511">
        <f t="shared" si="226"/>
        <v>0</v>
      </c>
      <c r="X276" s="445">
        <f t="shared" si="230"/>
        <v>0</v>
      </c>
      <c r="Y276" s="451"/>
      <c r="Z276" s="451"/>
      <c r="AA276" s="451"/>
      <c r="AB276" s="451"/>
      <c r="AC276" s="451"/>
      <c r="AD276" s="451"/>
      <c r="AE276" s="451"/>
      <c r="AF276" s="451"/>
      <c r="AG276" s="445">
        <f t="shared" ref="AG276" si="235">AH276+AI276</f>
        <v>525</v>
      </c>
      <c r="AH276" s="445">
        <v>500</v>
      </c>
      <c r="AI276" s="445">
        <v>25</v>
      </c>
      <c r="AJ276" s="451"/>
      <c r="AK276" s="451"/>
      <c r="AL276" s="15"/>
      <c r="AP276" s="1"/>
      <c r="AQ276" s="1"/>
      <c r="AR276" s="1"/>
    </row>
    <row r="277" spans="1:44" s="365" customFormat="1" ht="30" hidden="1">
      <c r="A277" s="8">
        <f t="shared" si="228"/>
        <v>25</v>
      </c>
      <c r="B277" s="328" t="s">
        <v>541</v>
      </c>
      <c r="C277" s="8" t="s">
        <v>509</v>
      </c>
      <c r="D277" s="8"/>
      <c r="E277" s="8" t="s">
        <v>812</v>
      </c>
      <c r="F277" s="8" t="s">
        <v>55</v>
      </c>
      <c r="G277" s="505">
        <f t="shared" si="229"/>
        <v>430.5</v>
      </c>
      <c r="H277" s="505">
        <v>410</v>
      </c>
      <c r="I277" s="505">
        <v>20.5</v>
      </c>
      <c r="J277" s="451">
        <v>0</v>
      </c>
      <c r="K277" s="484">
        <f>+L277+M277</f>
        <v>0.94999999999999929</v>
      </c>
      <c r="L277" s="451"/>
      <c r="M277" s="451">
        <f>+I277-S277</f>
        <v>0.94999999999999929</v>
      </c>
      <c r="N277" s="483">
        <f>+O277+P277</f>
        <v>70</v>
      </c>
      <c r="O277" s="451">
        <f>+R277-H277</f>
        <v>70</v>
      </c>
      <c r="P277" s="451"/>
      <c r="Q277" s="451">
        <f>+R277+S277</f>
        <v>499.55</v>
      </c>
      <c r="R277" s="451">
        <v>480</v>
      </c>
      <c r="S277" s="451">
        <v>19.55</v>
      </c>
      <c r="T277" s="451"/>
      <c r="U277" s="511">
        <f t="shared" si="225"/>
        <v>0</v>
      </c>
      <c r="V277" s="511">
        <f t="shared" si="226"/>
        <v>0</v>
      </c>
      <c r="W277" s="511">
        <f t="shared" si="226"/>
        <v>0</v>
      </c>
      <c r="X277" s="445">
        <f t="shared" si="230"/>
        <v>0</v>
      </c>
      <c r="Y277" s="451"/>
      <c r="Z277" s="451"/>
      <c r="AA277" s="451"/>
      <c r="AB277" s="451"/>
      <c r="AC277" s="451"/>
      <c r="AD277" s="451"/>
      <c r="AE277" s="451"/>
      <c r="AF277" s="451"/>
      <c r="AG277" s="451">
        <f>+AH277+AI277</f>
        <v>499.55</v>
      </c>
      <c r="AH277" s="451">
        <v>480</v>
      </c>
      <c r="AI277" s="451">
        <v>19.55</v>
      </c>
      <c r="AJ277" s="451"/>
      <c r="AK277" s="451"/>
      <c r="AL277" s="15"/>
      <c r="AP277" s="1"/>
      <c r="AQ277" s="1"/>
      <c r="AR277" s="1"/>
    </row>
    <row r="278" spans="1:44" s="365" customFormat="1" ht="75" hidden="1">
      <c r="A278" s="8">
        <f t="shared" si="228"/>
        <v>26</v>
      </c>
      <c r="B278" s="328" t="s">
        <v>543</v>
      </c>
      <c r="C278" s="8" t="s">
        <v>502</v>
      </c>
      <c r="D278" s="8"/>
      <c r="E278" s="8" t="s">
        <v>510</v>
      </c>
      <c r="F278" s="8" t="s">
        <v>55</v>
      </c>
      <c r="G278" s="505">
        <f t="shared" si="229"/>
        <v>105.25</v>
      </c>
      <c r="H278" s="505">
        <v>100.25</v>
      </c>
      <c r="I278" s="505">
        <v>5</v>
      </c>
      <c r="J278" s="451">
        <v>0</v>
      </c>
      <c r="K278" s="484"/>
      <c r="L278" s="451"/>
      <c r="M278" s="451"/>
      <c r="N278" s="483">
        <f>+O278+P278</f>
        <v>519.19000000000005</v>
      </c>
      <c r="O278" s="451">
        <f>+R278-H278</f>
        <v>499.75</v>
      </c>
      <c r="P278" s="451">
        <f>+S278-I278</f>
        <v>19.440000000000001</v>
      </c>
      <c r="Q278" s="451">
        <f>+R278+S278</f>
        <v>624.44000000000005</v>
      </c>
      <c r="R278" s="451">
        <v>600</v>
      </c>
      <c r="S278" s="451">
        <v>24.44</v>
      </c>
      <c r="T278" s="451"/>
      <c r="U278" s="511">
        <f t="shared" si="225"/>
        <v>0</v>
      </c>
      <c r="V278" s="511">
        <f t="shared" si="226"/>
        <v>0</v>
      </c>
      <c r="W278" s="511">
        <f t="shared" si="226"/>
        <v>0</v>
      </c>
      <c r="X278" s="445">
        <f t="shared" si="230"/>
        <v>0</v>
      </c>
      <c r="Y278" s="451"/>
      <c r="Z278" s="451"/>
      <c r="AA278" s="451"/>
      <c r="AB278" s="451"/>
      <c r="AC278" s="451"/>
      <c r="AD278" s="451"/>
      <c r="AE278" s="451"/>
      <c r="AF278" s="451"/>
      <c r="AG278" s="451">
        <f>+AH278+AI278</f>
        <v>624.44000000000005</v>
      </c>
      <c r="AH278" s="451">
        <v>600</v>
      </c>
      <c r="AI278" s="451">
        <v>24.44</v>
      </c>
      <c r="AJ278" s="451"/>
      <c r="AK278" s="451"/>
      <c r="AL278" s="15"/>
      <c r="AP278" s="1"/>
      <c r="AQ278" s="1"/>
      <c r="AR278" s="1"/>
    </row>
    <row r="279" spans="1:44" s="365" customFormat="1" ht="30" hidden="1">
      <c r="A279" s="8">
        <f t="shared" si="228"/>
        <v>27</v>
      </c>
      <c r="B279" s="512" t="s">
        <v>520</v>
      </c>
      <c r="C279" s="8" t="s">
        <v>502</v>
      </c>
      <c r="D279" s="8"/>
      <c r="E279" s="8" t="s">
        <v>521</v>
      </c>
      <c r="F279" s="8" t="s">
        <v>53</v>
      </c>
      <c r="G279" s="445">
        <f t="shared" si="229"/>
        <v>210</v>
      </c>
      <c r="H279" s="445">
        <v>200</v>
      </c>
      <c r="I279" s="445">
        <v>10</v>
      </c>
      <c r="J279" s="451">
        <v>0</v>
      </c>
      <c r="K279" s="445">
        <f t="shared" ref="K279:K284" si="236">L279+M279</f>
        <v>210</v>
      </c>
      <c r="L279" s="445">
        <v>200</v>
      </c>
      <c r="M279" s="445">
        <v>10</v>
      </c>
      <c r="N279" s="483"/>
      <c r="O279" s="451"/>
      <c r="P279" s="451"/>
      <c r="Q279" s="466"/>
      <c r="R279" s="451"/>
      <c r="S279" s="451"/>
      <c r="T279" s="19" t="s">
        <v>1174</v>
      </c>
      <c r="U279" s="511">
        <f t="shared" si="225"/>
        <v>0</v>
      </c>
      <c r="V279" s="511">
        <f t="shared" ref="V279:W284" si="237">+Y279+AB279+AE279</f>
        <v>0</v>
      </c>
      <c r="W279" s="511">
        <f t="shared" si="237"/>
        <v>0</v>
      </c>
      <c r="X279" s="445">
        <f t="shared" si="230"/>
        <v>0</v>
      </c>
      <c r="Y279" s="451"/>
      <c r="Z279" s="451"/>
      <c r="AA279" s="451"/>
      <c r="AB279" s="451"/>
      <c r="AC279" s="451"/>
      <c r="AD279" s="451"/>
      <c r="AE279" s="451"/>
      <c r="AF279" s="451"/>
      <c r="AG279" s="451"/>
      <c r="AH279" s="451"/>
      <c r="AI279" s="451"/>
      <c r="AJ279" s="451"/>
      <c r="AK279" s="451"/>
      <c r="AL279" s="15"/>
      <c r="AP279" s="1"/>
      <c r="AQ279" s="1"/>
      <c r="AR279" s="1"/>
    </row>
    <row r="280" spans="1:44" s="365" customFormat="1" ht="30" hidden="1">
      <c r="A280" s="8">
        <f t="shared" si="228"/>
        <v>28</v>
      </c>
      <c r="B280" s="512" t="s">
        <v>522</v>
      </c>
      <c r="C280" s="8" t="s">
        <v>515</v>
      </c>
      <c r="D280" s="8"/>
      <c r="E280" s="8" t="s">
        <v>523</v>
      </c>
      <c r="F280" s="8" t="s">
        <v>53</v>
      </c>
      <c r="G280" s="505">
        <f t="shared" si="229"/>
        <v>52.5</v>
      </c>
      <c r="H280" s="505">
        <v>50</v>
      </c>
      <c r="I280" s="505">
        <v>2.5</v>
      </c>
      <c r="J280" s="451">
        <v>0</v>
      </c>
      <c r="K280" s="505">
        <f t="shared" si="236"/>
        <v>52.5</v>
      </c>
      <c r="L280" s="505">
        <v>50</v>
      </c>
      <c r="M280" s="505">
        <v>2.5</v>
      </c>
      <c r="N280" s="483"/>
      <c r="O280" s="451"/>
      <c r="P280" s="451"/>
      <c r="Q280" s="466"/>
      <c r="R280" s="451"/>
      <c r="S280" s="451"/>
      <c r="T280" s="19" t="s">
        <v>1174</v>
      </c>
      <c r="U280" s="511">
        <f t="shared" si="225"/>
        <v>0</v>
      </c>
      <c r="V280" s="511">
        <f t="shared" si="237"/>
        <v>0</v>
      </c>
      <c r="W280" s="511">
        <f t="shared" si="237"/>
        <v>0</v>
      </c>
      <c r="X280" s="445">
        <f t="shared" si="230"/>
        <v>0</v>
      </c>
      <c r="Y280" s="451"/>
      <c r="Z280" s="451"/>
      <c r="AA280" s="451"/>
      <c r="AB280" s="451"/>
      <c r="AC280" s="451"/>
      <c r="AD280" s="451"/>
      <c r="AE280" s="451"/>
      <c r="AF280" s="451"/>
      <c r="AG280" s="451"/>
      <c r="AH280" s="451"/>
      <c r="AI280" s="451"/>
      <c r="AJ280" s="451"/>
      <c r="AK280" s="451"/>
      <c r="AL280" s="15"/>
      <c r="AP280" s="1"/>
      <c r="AQ280" s="1"/>
      <c r="AR280" s="1"/>
    </row>
    <row r="281" spans="1:44" s="365" customFormat="1" ht="60" hidden="1">
      <c r="A281" s="8">
        <f t="shared" si="228"/>
        <v>29</v>
      </c>
      <c r="B281" s="512" t="s">
        <v>534</v>
      </c>
      <c r="C281" s="8" t="s">
        <v>509</v>
      </c>
      <c r="D281" s="8"/>
      <c r="E281" s="22" t="s">
        <v>535</v>
      </c>
      <c r="F281" s="8" t="s">
        <v>54</v>
      </c>
      <c r="G281" s="505">
        <f t="shared" si="229"/>
        <v>420</v>
      </c>
      <c r="H281" s="505">
        <v>400</v>
      </c>
      <c r="I281" s="505">
        <v>20</v>
      </c>
      <c r="J281" s="451">
        <v>0</v>
      </c>
      <c r="K281" s="505">
        <f t="shared" si="236"/>
        <v>420</v>
      </c>
      <c r="L281" s="505">
        <v>400</v>
      </c>
      <c r="M281" s="505">
        <v>20</v>
      </c>
      <c r="N281" s="483"/>
      <c r="O281" s="451"/>
      <c r="P281" s="451"/>
      <c r="Q281" s="466"/>
      <c r="R281" s="451"/>
      <c r="S281" s="451"/>
      <c r="T281" s="19" t="s">
        <v>1174</v>
      </c>
      <c r="U281" s="511">
        <f t="shared" si="225"/>
        <v>0</v>
      </c>
      <c r="V281" s="511">
        <f t="shared" si="237"/>
        <v>0</v>
      </c>
      <c r="W281" s="511">
        <f t="shared" si="237"/>
        <v>0</v>
      </c>
      <c r="X281" s="445">
        <f t="shared" si="230"/>
        <v>0</v>
      </c>
      <c r="Y281" s="451"/>
      <c r="Z281" s="451"/>
      <c r="AA281" s="451"/>
      <c r="AB281" s="451"/>
      <c r="AC281" s="451"/>
      <c r="AD281" s="451"/>
      <c r="AE281" s="451"/>
      <c r="AF281" s="451"/>
      <c r="AG281" s="451"/>
      <c r="AH281" s="451"/>
      <c r="AI281" s="451"/>
      <c r="AJ281" s="451"/>
      <c r="AK281" s="451"/>
      <c r="AL281" s="15"/>
      <c r="AP281" s="1"/>
      <c r="AQ281" s="1"/>
      <c r="AR281" s="1"/>
    </row>
    <row r="282" spans="1:44" s="365" customFormat="1" ht="30" hidden="1">
      <c r="A282" s="8">
        <f t="shared" si="228"/>
        <v>30</v>
      </c>
      <c r="B282" s="512" t="s">
        <v>538</v>
      </c>
      <c r="C282" s="8" t="s">
        <v>506</v>
      </c>
      <c r="D282" s="8"/>
      <c r="E282" s="8" t="s">
        <v>539</v>
      </c>
      <c r="F282" s="8" t="s">
        <v>54</v>
      </c>
      <c r="G282" s="445">
        <f t="shared" si="229"/>
        <v>210</v>
      </c>
      <c r="H282" s="445">
        <v>200</v>
      </c>
      <c r="I282" s="445">
        <v>10</v>
      </c>
      <c r="J282" s="451">
        <v>0</v>
      </c>
      <c r="K282" s="445">
        <f t="shared" si="236"/>
        <v>210</v>
      </c>
      <c r="L282" s="445">
        <v>200</v>
      </c>
      <c r="M282" s="445">
        <v>10</v>
      </c>
      <c r="N282" s="483"/>
      <c r="O282" s="451"/>
      <c r="P282" s="451"/>
      <c r="Q282" s="466"/>
      <c r="R282" s="451"/>
      <c r="S282" s="451"/>
      <c r="T282" s="19" t="s">
        <v>1174</v>
      </c>
      <c r="U282" s="511">
        <f t="shared" si="225"/>
        <v>0</v>
      </c>
      <c r="V282" s="511">
        <f t="shared" si="237"/>
        <v>0</v>
      </c>
      <c r="W282" s="511">
        <f t="shared" si="237"/>
        <v>0</v>
      </c>
      <c r="X282" s="445">
        <f t="shared" si="230"/>
        <v>0</v>
      </c>
      <c r="Y282" s="451"/>
      <c r="Z282" s="451"/>
      <c r="AA282" s="451"/>
      <c r="AB282" s="451"/>
      <c r="AC282" s="451"/>
      <c r="AD282" s="451"/>
      <c r="AE282" s="451"/>
      <c r="AF282" s="451"/>
      <c r="AG282" s="451"/>
      <c r="AH282" s="451"/>
      <c r="AI282" s="451"/>
      <c r="AJ282" s="451"/>
      <c r="AK282" s="451"/>
      <c r="AL282" s="15"/>
      <c r="AP282" s="1"/>
      <c r="AQ282" s="1"/>
      <c r="AR282" s="1"/>
    </row>
    <row r="283" spans="1:44" s="365" customFormat="1" ht="30" hidden="1">
      <c r="A283" s="8">
        <f t="shared" si="228"/>
        <v>31</v>
      </c>
      <c r="B283" s="512" t="s">
        <v>540</v>
      </c>
      <c r="C283" s="8" t="s">
        <v>529</v>
      </c>
      <c r="D283" s="8"/>
      <c r="E283" s="8" t="s">
        <v>811</v>
      </c>
      <c r="F283" s="8" t="s">
        <v>55</v>
      </c>
      <c r="G283" s="505">
        <f t="shared" si="229"/>
        <v>430.5</v>
      </c>
      <c r="H283" s="505">
        <v>410</v>
      </c>
      <c r="I283" s="505">
        <v>20.5</v>
      </c>
      <c r="J283" s="451">
        <v>0</v>
      </c>
      <c r="K283" s="505">
        <f t="shared" si="236"/>
        <v>430.5</v>
      </c>
      <c r="L283" s="505">
        <v>410</v>
      </c>
      <c r="M283" s="505">
        <v>20.5</v>
      </c>
      <c r="N283" s="483"/>
      <c r="O283" s="451"/>
      <c r="P283" s="451"/>
      <c r="Q283" s="466"/>
      <c r="R283" s="451"/>
      <c r="S283" s="451"/>
      <c r="T283" s="19" t="s">
        <v>1174</v>
      </c>
      <c r="U283" s="511">
        <f t="shared" si="225"/>
        <v>0</v>
      </c>
      <c r="V283" s="511">
        <f t="shared" si="237"/>
        <v>0</v>
      </c>
      <c r="W283" s="511">
        <f t="shared" si="237"/>
        <v>0</v>
      </c>
      <c r="X283" s="445">
        <f t="shared" si="230"/>
        <v>0</v>
      </c>
      <c r="Y283" s="451"/>
      <c r="Z283" s="451"/>
      <c r="AA283" s="451"/>
      <c r="AB283" s="451"/>
      <c r="AC283" s="451"/>
      <c r="AD283" s="451"/>
      <c r="AE283" s="451"/>
      <c r="AF283" s="451"/>
      <c r="AG283" s="451"/>
      <c r="AH283" s="451"/>
      <c r="AI283" s="451"/>
      <c r="AJ283" s="451"/>
      <c r="AK283" s="451"/>
      <c r="AL283" s="15"/>
      <c r="AP283" s="1"/>
      <c r="AQ283" s="1"/>
      <c r="AR283" s="1"/>
    </row>
    <row r="284" spans="1:44" ht="75" hidden="1">
      <c r="A284" s="8">
        <f t="shared" si="228"/>
        <v>32</v>
      </c>
      <c r="B284" s="512" t="s">
        <v>542</v>
      </c>
      <c r="C284" s="8" t="s">
        <v>502</v>
      </c>
      <c r="D284" s="8"/>
      <c r="E284" s="8" t="s">
        <v>510</v>
      </c>
      <c r="F284" s="8" t="s">
        <v>55</v>
      </c>
      <c r="G284" s="505">
        <f t="shared" si="229"/>
        <v>336</v>
      </c>
      <c r="H284" s="505">
        <v>320</v>
      </c>
      <c r="I284" s="505">
        <v>16</v>
      </c>
      <c r="J284" s="451">
        <v>0</v>
      </c>
      <c r="K284" s="505">
        <f t="shared" si="236"/>
        <v>336</v>
      </c>
      <c r="L284" s="505">
        <v>320</v>
      </c>
      <c r="M284" s="505">
        <v>16</v>
      </c>
      <c r="N284" s="483"/>
      <c r="O284" s="451"/>
      <c r="P284" s="451"/>
      <c r="Q284" s="466"/>
      <c r="R284" s="451"/>
      <c r="S284" s="451"/>
      <c r="T284" s="19" t="s">
        <v>1174</v>
      </c>
      <c r="U284" s="511">
        <f t="shared" si="225"/>
        <v>0</v>
      </c>
      <c r="V284" s="511">
        <f t="shared" si="237"/>
        <v>0</v>
      </c>
      <c r="W284" s="511">
        <f t="shared" si="237"/>
        <v>0</v>
      </c>
      <c r="X284" s="445">
        <f t="shared" si="230"/>
        <v>0</v>
      </c>
      <c r="Y284" s="451"/>
      <c r="Z284" s="451"/>
      <c r="AA284" s="451"/>
      <c r="AB284" s="451"/>
      <c r="AC284" s="451"/>
      <c r="AD284" s="451"/>
      <c r="AE284" s="451"/>
      <c r="AF284" s="451"/>
      <c r="AG284" s="451"/>
      <c r="AH284" s="451"/>
      <c r="AI284" s="451"/>
      <c r="AJ284" s="451"/>
      <c r="AK284" s="451"/>
      <c r="AL284" s="15"/>
    </row>
    <row r="285" spans="1:44" s="365" customFormat="1" ht="128.25">
      <c r="A285" s="266" t="s">
        <v>39</v>
      </c>
      <c r="B285" s="236" t="s">
        <v>1006</v>
      </c>
      <c r="C285" s="257"/>
      <c r="D285" s="257"/>
      <c r="E285" s="257"/>
      <c r="F285" s="275"/>
      <c r="G285" s="323">
        <f>+G291</f>
        <v>7364</v>
      </c>
      <c r="H285" s="323">
        <f t="shared" ref="H285:AK285" si="238">+H291</f>
        <v>7014</v>
      </c>
      <c r="I285" s="323">
        <f>+I290</f>
        <v>350</v>
      </c>
      <c r="J285" s="323">
        <f t="shared" ref="J285:S285" si="239">+J290</f>
        <v>0</v>
      </c>
      <c r="K285" s="323">
        <f t="shared" si="239"/>
        <v>5508.2415000000001</v>
      </c>
      <c r="L285" s="323">
        <f t="shared" si="239"/>
        <v>5250.2415000000001</v>
      </c>
      <c r="M285" s="323">
        <f t="shared" si="239"/>
        <v>258</v>
      </c>
      <c r="N285" s="323">
        <f t="shared" si="239"/>
        <v>6809.2415000000001</v>
      </c>
      <c r="O285" s="323">
        <f t="shared" si="239"/>
        <v>6488.2415000000001</v>
      </c>
      <c r="P285" s="323">
        <f t="shared" si="239"/>
        <v>321</v>
      </c>
      <c r="Q285" s="323">
        <f t="shared" si="239"/>
        <v>8665</v>
      </c>
      <c r="R285" s="323">
        <f t="shared" si="239"/>
        <v>8252</v>
      </c>
      <c r="S285" s="323">
        <f t="shared" si="239"/>
        <v>413</v>
      </c>
      <c r="T285" s="323"/>
      <c r="U285" s="323"/>
      <c r="V285" s="323"/>
      <c r="W285" s="323"/>
      <c r="X285" s="323">
        <f t="shared" si="238"/>
        <v>1000</v>
      </c>
      <c r="Y285" s="323">
        <f t="shared" si="238"/>
        <v>952</v>
      </c>
      <c r="Z285" s="323">
        <f t="shared" si="238"/>
        <v>48</v>
      </c>
      <c r="AA285" s="323"/>
      <c r="AB285" s="479"/>
      <c r="AC285" s="479"/>
      <c r="AD285" s="323"/>
      <c r="AE285" s="479"/>
      <c r="AF285" s="479"/>
      <c r="AG285" s="323"/>
      <c r="AH285" s="479"/>
      <c r="AI285" s="479"/>
      <c r="AJ285" s="323"/>
      <c r="AK285" s="323">
        <f t="shared" si="238"/>
        <v>0</v>
      </c>
      <c r="AL285" s="257"/>
      <c r="AP285" s="1"/>
      <c r="AQ285" s="1"/>
      <c r="AR285" s="1"/>
    </row>
    <row r="286" spans="1:44" s="365" customFormat="1" ht="90" hidden="1">
      <c r="A286" s="253">
        <v>1</v>
      </c>
      <c r="B286" s="276" t="s">
        <v>896</v>
      </c>
      <c r="C286" s="257"/>
      <c r="D286" s="257"/>
      <c r="E286" s="257"/>
      <c r="F286" s="9" t="s">
        <v>19</v>
      </c>
      <c r="G286" s="451">
        <f>H286+I286</f>
        <v>3433</v>
      </c>
      <c r="H286" s="451">
        <v>3269</v>
      </c>
      <c r="I286" s="451">
        <v>164</v>
      </c>
      <c r="J286" s="451"/>
      <c r="K286" s="483"/>
      <c r="L286" s="451"/>
      <c r="M286" s="451"/>
      <c r="N286" s="483"/>
      <c r="O286" s="451"/>
      <c r="P286" s="451"/>
      <c r="Q286" s="466"/>
      <c r="R286" s="451"/>
      <c r="S286" s="451"/>
      <c r="T286" s="451"/>
      <c r="U286" s="451"/>
      <c r="V286" s="451"/>
      <c r="W286" s="451"/>
      <c r="X286" s="451">
        <f>Y286+Z286</f>
        <v>618</v>
      </c>
      <c r="Y286" s="451">
        <v>588</v>
      </c>
      <c r="Z286" s="451">
        <v>30</v>
      </c>
      <c r="AA286" s="451"/>
      <c r="AB286" s="483"/>
      <c r="AC286" s="483"/>
      <c r="AD286" s="451"/>
      <c r="AE286" s="483"/>
      <c r="AF286" s="483"/>
      <c r="AG286" s="451"/>
      <c r="AH286" s="483"/>
      <c r="AI286" s="483"/>
      <c r="AJ286" s="451"/>
      <c r="AK286" s="451"/>
      <c r="AL286" s="257"/>
      <c r="AP286" s="1"/>
      <c r="AQ286" s="1"/>
      <c r="AR286" s="1"/>
    </row>
    <row r="287" spans="1:44" s="365" customFormat="1" ht="90" hidden="1">
      <c r="A287" s="253">
        <v>2</v>
      </c>
      <c r="B287" s="276" t="s">
        <v>897</v>
      </c>
      <c r="C287" s="257"/>
      <c r="D287" s="257"/>
      <c r="E287" s="257"/>
      <c r="F287" s="9" t="s">
        <v>19</v>
      </c>
      <c r="G287" s="451">
        <f t="shared" ref="G287:G291" si="240">H287+I287</f>
        <v>3474</v>
      </c>
      <c r="H287" s="451">
        <v>3309</v>
      </c>
      <c r="I287" s="451">
        <v>165</v>
      </c>
      <c r="J287" s="451"/>
      <c r="K287" s="483"/>
      <c r="L287" s="451"/>
      <c r="M287" s="451"/>
      <c r="N287" s="483"/>
      <c r="O287" s="451"/>
      <c r="P287" s="451"/>
      <c r="Q287" s="466"/>
      <c r="R287" s="451"/>
      <c r="S287" s="451"/>
      <c r="T287" s="451"/>
      <c r="U287" s="451"/>
      <c r="V287" s="451"/>
      <c r="W287" s="451"/>
      <c r="X287" s="451">
        <f t="shared" ref="X287:X291" si="241">Y287+Z287</f>
        <v>626</v>
      </c>
      <c r="Y287" s="451">
        <v>596</v>
      </c>
      <c r="Z287" s="451">
        <v>30</v>
      </c>
      <c r="AA287" s="451"/>
      <c r="AB287" s="483"/>
      <c r="AC287" s="483"/>
      <c r="AD287" s="451"/>
      <c r="AE287" s="483"/>
      <c r="AF287" s="483"/>
      <c r="AG287" s="451"/>
      <c r="AH287" s="483"/>
      <c r="AI287" s="483"/>
      <c r="AJ287" s="451"/>
      <c r="AK287" s="451"/>
      <c r="AL287" s="257"/>
      <c r="AP287" s="1"/>
      <c r="AQ287" s="1"/>
      <c r="AR287" s="1"/>
    </row>
    <row r="288" spans="1:44" s="365" customFormat="1" ht="90" hidden="1">
      <c r="A288" s="253">
        <v>3</v>
      </c>
      <c r="B288" s="276" t="s">
        <v>898</v>
      </c>
      <c r="C288" s="257"/>
      <c r="D288" s="257"/>
      <c r="E288" s="257"/>
      <c r="F288" s="9" t="s">
        <v>19</v>
      </c>
      <c r="G288" s="451">
        <f t="shared" si="240"/>
        <v>3798</v>
      </c>
      <c r="H288" s="451">
        <v>3617</v>
      </c>
      <c r="I288" s="451">
        <v>181</v>
      </c>
      <c r="J288" s="451"/>
      <c r="K288" s="483"/>
      <c r="L288" s="451"/>
      <c r="M288" s="451"/>
      <c r="N288" s="483"/>
      <c r="O288" s="451"/>
      <c r="P288" s="451"/>
      <c r="Q288" s="466"/>
      <c r="R288" s="451"/>
      <c r="S288" s="451"/>
      <c r="T288" s="451"/>
      <c r="U288" s="451"/>
      <c r="V288" s="451"/>
      <c r="W288" s="451"/>
      <c r="X288" s="451">
        <f t="shared" si="241"/>
        <v>684</v>
      </c>
      <c r="Y288" s="451">
        <v>651</v>
      </c>
      <c r="Z288" s="451">
        <v>33</v>
      </c>
      <c r="AA288" s="451"/>
      <c r="AB288" s="483"/>
      <c r="AC288" s="483"/>
      <c r="AD288" s="451"/>
      <c r="AE288" s="483"/>
      <c r="AF288" s="483"/>
      <c r="AG288" s="451"/>
      <c r="AH288" s="483"/>
      <c r="AI288" s="483"/>
      <c r="AJ288" s="451"/>
      <c r="AK288" s="451"/>
      <c r="AL288" s="257"/>
      <c r="AP288" s="1"/>
      <c r="AQ288" s="1"/>
      <c r="AR288" s="1"/>
    </row>
    <row r="289" spans="1:44" s="365" customFormat="1" ht="90" hidden="1">
      <c r="A289" s="253">
        <v>4</v>
      </c>
      <c r="B289" s="276" t="s">
        <v>899</v>
      </c>
      <c r="C289" s="257"/>
      <c r="D289" s="257"/>
      <c r="E289" s="257"/>
      <c r="F289" s="9" t="s">
        <v>19</v>
      </c>
      <c r="G289" s="451">
        <f t="shared" si="240"/>
        <v>3440</v>
      </c>
      <c r="H289" s="451">
        <v>3276</v>
      </c>
      <c r="I289" s="451">
        <v>164</v>
      </c>
      <c r="J289" s="451"/>
      <c r="K289" s="483"/>
      <c r="L289" s="451"/>
      <c r="M289" s="451"/>
      <c r="N289" s="483"/>
      <c r="O289" s="451"/>
      <c r="P289" s="451"/>
      <c r="Q289" s="466"/>
      <c r="R289" s="451"/>
      <c r="S289" s="451"/>
      <c r="T289" s="451"/>
      <c r="U289" s="451"/>
      <c r="V289" s="451"/>
      <c r="W289" s="451"/>
      <c r="X289" s="451">
        <f t="shared" si="241"/>
        <v>619</v>
      </c>
      <c r="Y289" s="451">
        <v>590</v>
      </c>
      <c r="Z289" s="451">
        <v>29</v>
      </c>
      <c r="AA289" s="451"/>
      <c r="AB289" s="483"/>
      <c r="AC289" s="483"/>
      <c r="AD289" s="451"/>
      <c r="AE289" s="483"/>
      <c r="AF289" s="483"/>
      <c r="AG289" s="451"/>
      <c r="AH289" s="483"/>
      <c r="AI289" s="483"/>
      <c r="AJ289" s="451"/>
      <c r="AK289" s="451"/>
      <c r="AL289" s="257"/>
      <c r="AP289" s="1"/>
      <c r="AQ289" s="1"/>
      <c r="AR289" s="1"/>
    </row>
    <row r="290" spans="1:44" s="365" customFormat="1" ht="90">
      <c r="A290" s="249" t="s">
        <v>1004</v>
      </c>
      <c r="B290" s="551" t="s">
        <v>1005</v>
      </c>
      <c r="C290" s="273"/>
      <c r="D290" s="273"/>
      <c r="E290" s="273"/>
      <c r="F290" s="415"/>
      <c r="G290" s="453">
        <f>+G291+G292</f>
        <v>7364</v>
      </c>
      <c r="H290" s="453">
        <f t="shared" ref="H290:T290" si="242">+H291+H292</f>
        <v>7014</v>
      </c>
      <c r="I290" s="453">
        <f t="shared" si="242"/>
        <v>350</v>
      </c>
      <c r="J290" s="453">
        <f t="shared" si="242"/>
        <v>0</v>
      </c>
      <c r="K290" s="453">
        <f t="shared" si="242"/>
        <v>5508.2415000000001</v>
      </c>
      <c r="L290" s="453">
        <f t="shared" si="242"/>
        <v>5250.2415000000001</v>
      </c>
      <c r="M290" s="453">
        <f t="shared" si="242"/>
        <v>258</v>
      </c>
      <c r="N290" s="453">
        <f t="shared" si="242"/>
        <v>6809.2415000000001</v>
      </c>
      <c r="O290" s="453">
        <f t="shared" si="242"/>
        <v>6488.2415000000001</v>
      </c>
      <c r="P290" s="453">
        <f t="shared" si="242"/>
        <v>321</v>
      </c>
      <c r="Q290" s="453">
        <f t="shared" si="242"/>
        <v>8665</v>
      </c>
      <c r="R290" s="453">
        <f t="shared" si="242"/>
        <v>8252</v>
      </c>
      <c r="S290" s="453">
        <f t="shared" si="242"/>
        <v>413</v>
      </c>
      <c r="T290" s="453">
        <f t="shared" si="242"/>
        <v>0</v>
      </c>
      <c r="U290" s="453"/>
      <c r="V290" s="453"/>
      <c r="W290" s="453"/>
      <c r="X290" s="453">
        <f t="shared" ref="X290:AK290" si="243">+X291</f>
        <v>1000</v>
      </c>
      <c r="Y290" s="453">
        <f t="shared" si="243"/>
        <v>952</v>
      </c>
      <c r="Z290" s="453">
        <f t="shared" si="243"/>
        <v>48</v>
      </c>
      <c r="AA290" s="453"/>
      <c r="AB290" s="486"/>
      <c r="AC290" s="486"/>
      <c r="AD290" s="453"/>
      <c r="AE290" s="486"/>
      <c r="AF290" s="486"/>
      <c r="AG290" s="453"/>
      <c r="AH290" s="486"/>
      <c r="AI290" s="486"/>
      <c r="AJ290" s="453"/>
      <c r="AK290" s="453">
        <f t="shared" si="243"/>
        <v>0</v>
      </c>
      <c r="AL290" s="257"/>
      <c r="AP290" s="1"/>
      <c r="AQ290" s="1"/>
      <c r="AR290" s="1"/>
    </row>
    <row r="291" spans="1:44" s="365" customFormat="1" ht="90">
      <c r="A291" s="253" t="s">
        <v>891</v>
      </c>
      <c r="B291" s="241" t="s">
        <v>900</v>
      </c>
      <c r="C291" s="257"/>
      <c r="D291" s="257"/>
      <c r="E291" s="257"/>
      <c r="F291" s="9" t="s">
        <v>19</v>
      </c>
      <c r="G291" s="255">
        <f t="shared" si="240"/>
        <v>7364</v>
      </c>
      <c r="H291" s="255">
        <v>7014</v>
      </c>
      <c r="I291" s="255">
        <v>350</v>
      </c>
      <c r="J291" s="255"/>
      <c r="K291" s="489">
        <f>+L291+M291</f>
        <v>5508.2415000000001</v>
      </c>
      <c r="L291" s="554">
        <f>+H291-R291</f>
        <v>5250.2415000000001</v>
      </c>
      <c r="M291" s="554">
        <f>+I291-S291</f>
        <v>258</v>
      </c>
      <c r="N291" s="489"/>
      <c r="O291" s="255"/>
      <c r="P291" s="255"/>
      <c r="Q291" s="542">
        <f>+R291+S291</f>
        <v>1855.7584999999999</v>
      </c>
      <c r="R291" s="255">
        <f>952+811.7585</f>
        <v>1763.7584999999999</v>
      </c>
      <c r="S291" s="255">
        <f>44+48</f>
        <v>92</v>
      </c>
      <c r="T291" s="255"/>
      <c r="U291" s="255"/>
      <c r="V291" s="255"/>
      <c r="W291" s="255"/>
      <c r="X291" s="255">
        <f t="shared" si="241"/>
        <v>1000</v>
      </c>
      <c r="Y291" s="255">
        <v>952</v>
      </c>
      <c r="Z291" s="255">
        <v>48</v>
      </c>
      <c r="AA291" s="255"/>
      <c r="AB291" s="489"/>
      <c r="AC291" s="489"/>
      <c r="AD291" s="255"/>
      <c r="AE291" s="489"/>
      <c r="AF291" s="489"/>
      <c r="AG291" s="255"/>
      <c r="AH291" s="489"/>
      <c r="AI291" s="489"/>
      <c r="AJ291" s="255"/>
      <c r="AK291" s="255"/>
      <c r="AL291" s="257"/>
      <c r="AP291" s="1"/>
      <c r="AQ291" s="1"/>
      <c r="AR291" s="1"/>
    </row>
    <row r="292" spans="1:44">
      <c r="A292" s="253" t="s">
        <v>891</v>
      </c>
      <c r="B292" s="545" t="s">
        <v>1175</v>
      </c>
      <c r="C292" s="257"/>
      <c r="D292" s="257"/>
      <c r="E292" s="257"/>
      <c r="F292" s="275" t="s">
        <v>51</v>
      </c>
      <c r="G292" s="493"/>
      <c r="H292" s="552"/>
      <c r="I292" s="553"/>
      <c r="J292" s="493"/>
      <c r="K292" s="494"/>
      <c r="L292" s="493"/>
      <c r="M292" s="493"/>
      <c r="N292" s="555">
        <f>+O292+P292</f>
        <v>6809.2415000000001</v>
      </c>
      <c r="O292" s="255">
        <f>5250.2415+1238</f>
        <v>6488.2415000000001</v>
      </c>
      <c r="P292" s="255">
        <f>258+63</f>
        <v>321</v>
      </c>
      <c r="Q292" s="556">
        <f>+R292+S292</f>
        <v>6809.2415000000001</v>
      </c>
      <c r="R292" s="553">
        <f>+O292</f>
        <v>6488.2415000000001</v>
      </c>
      <c r="S292" s="553">
        <f>+P292</f>
        <v>321</v>
      </c>
      <c r="T292" s="493"/>
      <c r="U292" s="493"/>
      <c r="V292" s="493"/>
      <c r="W292" s="493"/>
      <c r="X292" s="493"/>
      <c r="Y292" s="493"/>
      <c r="Z292" s="493"/>
      <c r="AA292" s="493"/>
      <c r="AB292" s="494"/>
      <c r="AC292" s="494"/>
      <c r="AD292" s="493"/>
      <c r="AE292" s="494"/>
      <c r="AF292" s="494"/>
      <c r="AG292" s="493"/>
      <c r="AH292" s="494"/>
      <c r="AI292" s="494"/>
      <c r="AJ292" s="493"/>
      <c r="AK292" s="493"/>
      <c r="AL292" s="257"/>
    </row>
  </sheetData>
  <mergeCells count="22">
    <mergeCell ref="B11:C11"/>
    <mergeCell ref="AM13:AR13"/>
    <mergeCell ref="K5:M5"/>
    <mergeCell ref="N5:P5"/>
    <mergeCell ref="Q5:S5"/>
    <mergeCell ref="T5:T6"/>
    <mergeCell ref="U5:W5"/>
    <mergeCell ref="X5:Z5"/>
    <mergeCell ref="AA5:AC5"/>
    <mergeCell ref="AD5:AF5"/>
    <mergeCell ref="AG5:AI5"/>
    <mergeCell ref="AL5:AL6"/>
    <mergeCell ref="AK1:AL1"/>
    <mergeCell ref="A2:AL2"/>
    <mergeCell ref="A3:AL3"/>
    <mergeCell ref="I4:AL4"/>
    <mergeCell ref="A5:A6"/>
    <mergeCell ref="B5:B6"/>
    <mergeCell ref="C5:C6"/>
    <mergeCell ref="E5:E6"/>
    <mergeCell ref="F5:F6"/>
    <mergeCell ref="G5:J5"/>
  </mergeCells>
  <pageMargins left="0.7" right="0.7" top="0.75" bottom="0.75" header="0.3" footer="0.3"/>
  <pageSetup paperSize="9" scale="83" fitToHeight="0" orientation="landscape" r:id="rId1"/>
  <headerFooter>
    <oddFooter>&amp;C&amp;P</oddFooter>
  </headerFooter>
  <legacyDrawing r:id="rId2"/>
</worksheet>
</file>

<file path=xl/worksheets/sheet4.xml><?xml version="1.0" encoding="utf-8"?>
<worksheet xmlns="http://schemas.openxmlformats.org/spreadsheetml/2006/main" xmlns:r="http://schemas.openxmlformats.org/officeDocument/2006/relationships">
  <sheetPr>
    <tabColor rgb="FFFF0000"/>
    <pageSetUpPr fitToPage="1"/>
  </sheetPr>
  <dimension ref="A1:AR291"/>
  <sheetViews>
    <sheetView zoomScale="85" zoomScaleNormal="85" workbookViewId="0">
      <selection activeCell="M181" sqref="M181"/>
    </sheetView>
  </sheetViews>
  <sheetFormatPr defaultRowHeight="15"/>
  <cols>
    <col min="1" max="1" width="6.85546875" style="29" customWidth="1"/>
    <col min="2" max="2" width="27.42578125" style="30" customWidth="1"/>
    <col min="3" max="3" width="12.85546875" style="31" customWidth="1"/>
    <col min="4" max="4" width="12.85546875" style="31" hidden="1" customWidth="1"/>
    <col min="5" max="5" width="40.42578125" style="31" hidden="1" customWidth="1"/>
    <col min="6" max="6" width="9.140625" style="1" customWidth="1"/>
    <col min="7" max="7" width="12.85546875" style="32" customWidth="1"/>
    <col min="8" max="8" width="12.85546875" style="296" customWidth="1"/>
    <col min="9" max="9" width="12.85546875" style="139" customWidth="1"/>
    <col min="10" max="10" width="10.7109375" style="32" customWidth="1"/>
    <col min="11" max="11" width="10.7109375" style="491" customWidth="1"/>
    <col min="12" max="12" width="12" style="32" customWidth="1"/>
    <col min="13" max="13" width="10.7109375" style="32" customWidth="1"/>
    <col min="14" max="14" width="10.7109375" style="491" customWidth="1"/>
    <col min="15" max="16" width="10.7109375" style="32" customWidth="1"/>
    <col min="17" max="17" width="11.7109375" style="543" customWidth="1"/>
    <col min="18" max="18" width="11.7109375" style="32" customWidth="1"/>
    <col min="19" max="20" width="10.7109375" style="32" customWidth="1"/>
    <col min="21" max="21" width="12.5703125" style="32" customWidth="1"/>
    <col min="22" max="22" width="11.7109375" style="32" customWidth="1"/>
    <col min="23" max="23" width="10.7109375" style="32" customWidth="1"/>
    <col min="24" max="24" width="12.7109375" style="32" customWidth="1"/>
    <col min="25" max="25" width="10.85546875" style="32" customWidth="1"/>
    <col min="26" max="26" width="13.85546875" style="32" customWidth="1"/>
    <col min="27" max="27" width="11.28515625" style="32" customWidth="1"/>
    <col min="28" max="28" width="11.28515625" style="491" customWidth="1"/>
    <col min="29" max="29" width="14.28515625" style="491" customWidth="1"/>
    <col min="30" max="30" width="11.28515625" style="32" customWidth="1"/>
    <col min="31" max="31" width="11.28515625" style="491" customWidth="1"/>
    <col min="32" max="32" width="14.140625" style="491" customWidth="1"/>
    <col min="33" max="33" width="11.28515625" style="32" customWidth="1"/>
    <col min="34" max="34" width="11.28515625" style="491" customWidth="1"/>
    <col min="35" max="35" width="13.28515625" style="491" customWidth="1"/>
    <col min="36" max="36" width="11.28515625" style="32" customWidth="1"/>
    <col min="37" max="37" width="9.7109375" style="32" customWidth="1"/>
    <col min="38" max="38" width="6.140625" style="31" customWidth="1"/>
    <col min="39" max="41" width="13.7109375" style="365" customWidth="1"/>
    <col min="42" max="268" width="9.140625" style="1"/>
    <col min="269" max="269" width="6.85546875" style="1" customWidth="1"/>
    <col min="270" max="270" width="27.42578125" style="1" customWidth="1"/>
    <col min="271" max="271" width="12.85546875" style="1" customWidth="1"/>
    <col min="272" max="272" width="0" style="1" hidden="1" customWidth="1"/>
    <col min="273" max="273" width="40.42578125" style="1" customWidth="1"/>
    <col min="274" max="274" width="9.140625" style="1" customWidth="1"/>
    <col min="275" max="276" width="11" style="1" customWidth="1"/>
    <col min="277" max="277" width="12.28515625" style="1" customWidth="1"/>
    <col min="278" max="280" width="12.85546875" style="1" customWidth="1"/>
    <col min="281" max="281" width="10.7109375" style="1" customWidth="1"/>
    <col min="282" max="282" width="12.7109375" style="1" customWidth="1"/>
    <col min="283" max="283" width="10.85546875" style="1" customWidth="1"/>
    <col min="284" max="284" width="11.28515625" style="1" customWidth="1"/>
    <col min="285" max="285" width="9.7109375" style="1" customWidth="1"/>
    <col min="286" max="286" width="11.140625" style="1" customWidth="1"/>
    <col min="287" max="287" width="12.42578125" style="1" customWidth="1"/>
    <col min="288" max="293" width="9.7109375" style="1" customWidth="1"/>
    <col min="294" max="294" width="6.140625" style="1" customWidth="1"/>
    <col min="295" max="524" width="9.140625" style="1"/>
    <col min="525" max="525" width="6.85546875" style="1" customWidth="1"/>
    <col min="526" max="526" width="27.42578125" style="1" customWidth="1"/>
    <col min="527" max="527" width="12.85546875" style="1" customWidth="1"/>
    <col min="528" max="528" width="0" style="1" hidden="1" customWidth="1"/>
    <col min="529" max="529" width="40.42578125" style="1" customWidth="1"/>
    <col min="530" max="530" width="9.140625" style="1" customWidth="1"/>
    <col min="531" max="532" width="11" style="1" customWidth="1"/>
    <col min="533" max="533" width="12.28515625" style="1" customWidth="1"/>
    <col min="534" max="536" width="12.85546875" style="1" customWidth="1"/>
    <col min="537" max="537" width="10.7109375" style="1" customWidth="1"/>
    <col min="538" max="538" width="12.7109375" style="1" customWidth="1"/>
    <col min="539" max="539" width="10.85546875" style="1" customWidth="1"/>
    <col min="540" max="540" width="11.28515625" style="1" customWidth="1"/>
    <col min="541" max="541" width="9.7109375" style="1" customWidth="1"/>
    <col min="542" max="542" width="11.140625" style="1" customWidth="1"/>
    <col min="543" max="543" width="12.42578125" style="1" customWidth="1"/>
    <col min="544" max="549" width="9.7109375" style="1" customWidth="1"/>
    <col min="550" max="550" width="6.140625" style="1" customWidth="1"/>
    <col min="551" max="780" width="9.140625" style="1"/>
    <col min="781" max="781" width="6.85546875" style="1" customWidth="1"/>
    <col min="782" max="782" width="27.42578125" style="1" customWidth="1"/>
    <col min="783" max="783" width="12.85546875" style="1" customWidth="1"/>
    <col min="784" max="784" width="0" style="1" hidden="1" customWidth="1"/>
    <col min="785" max="785" width="40.42578125" style="1" customWidth="1"/>
    <col min="786" max="786" width="9.140625" style="1" customWidth="1"/>
    <col min="787" max="788" width="11" style="1" customWidth="1"/>
    <col min="789" max="789" width="12.28515625" style="1" customWidth="1"/>
    <col min="790" max="792" width="12.85546875" style="1" customWidth="1"/>
    <col min="793" max="793" width="10.7109375" style="1" customWidth="1"/>
    <col min="794" max="794" width="12.7109375" style="1" customWidth="1"/>
    <col min="795" max="795" width="10.85546875" style="1" customWidth="1"/>
    <col min="796" max="796" width="11.28515625" style="1" customWidth="1"/>
    <col min="797" max="797" width="9.7109375" style="1" customWidth="1"/>
    <col min="798" max="798" width="11.140625" style="1" customWidth="1"/>
    <col min="799" max="799" width="12.42578125" style="1" customWidth="1"/>
    <col min="800" max="805" width="9.7109375" style="1" customWidth="1"/>
    <col min="806" max="806" width="6.140625" style="1" customWidth="1"/>
    <col min="807" max="1036" width="9.140625" style="1"/>
    <col min="1037" max="1037" width="6.85546875" style="1" customWidth="1"/>
    <col min="1038" max="1038" width="27.42578125" style="1" customWidth="1"/>
    <col min="1039" max="1039" width="12.85546875" style="1" customWidth="1"/>
    <col min="1040" max="1040" width="0" style="1" hidden="1" customWidth="1"/>
    <col min="1041" max="1041" width="40.42578125" style="1" customWidth="1"/>
    <col min="1042" max="1042" width="9.140625" style="1" customWidth="1"/>
    <col min="1043" max="1044" width="11" style="1" customWidth="1"/>
    <col min="1045" max="1045" width="12.28515625" style="1" customWidth="1"/>
    <col min="1046" max="1048" width="12.85546875" style="1" customWidth="1"/>
    <col min="1049" max="1049" width="10.7109375" style="1" customWidth="1"/>
    <col min="1050" max="1050" width="12.7109375" style="1" customWidth="1"/>
    <col min="1051" max="1051" width="10.85546875" style="1" customWidth="1"/>
    <col min="1052" max="1052" width="11.28515625" style="1" customWidth="1"/>
    <col min="1053" max="1053" width="9.7109375" style="1" customWidth="1"/>
    <col min="1054" max="1054" width="11.140625" style="1" customWidth="1"/>
    <col min="1055" max="1055" width="12.42578125" style="1" customWidth="1"/>
    <col min="1056" max="1061" width="9.7109375" style="1" customWidth="1"/>
    <col min="1062" max="1062" width="6.140625" style="1" customWidth="1"/>
    <col min="1063" max="1292" width="9.140625" style="1"/>
    <col min="1293" max="1293" width="6.85546875" style="1" customWidth="1"/>
    <col min="1294" max="1294" width="27.42578125" style="1" customWidth="1"/>
    <col min="1295" max="1295" width="12.85546875" style="1" customWidth="1"/>
    <col min="1296" max="1296" width="0" style="1" hidden="1" customWidth="1"/>
    <col min="1297" max="1297" width="40.42578125" style="1" customWidth="1"/>
    <col min="1298" max="1298" width="9.140625" style="1" customWidth="1"/>
    <col min="1299" max="1300" width="11" style="1" customWidth="1"/>
    <col min="1301" max="1301" width="12.28515625" style="1" customWidth="1"/>
    <col min="1302" max="1304" width="12.85546875" style="1" customWidth="1"/>
    <col min="1305" max="1305" width="10.7109375" style="1" customWidth="1"/>
    <col min="1306" max="1306" width="12.7109375" style="1" customWidth="1"/>
    <col min="1307" max="1307" width="10.85546875" style="1" customWidth="1"/>
    <col min="1308" max="1308" width="11.28515625" style="1" customWidth="1"/>
    <col min="1309" max="1309" width="9.7109375" style="1" customWidth="1"/>
    <col min="1310" max="1310" width="11.140625" style="1" customWidth="1"/>
    <col min="1311" max="1311" width="12.42578125" style="1" customWidth="1"/>
    <col min="1312" max="1317" width="9.7109375" style="1" customWidth="1"/>
    <col min="1318" max="1318" width="6.140625" style="1" customWidth="1"/>
    <col min="1319" max="1548" width="9.140625" style="1"/>
    <col min="1549" max="1549" width="6.85546875" style="1" customWidth="1"/>
    <col min="1550" max="1550" width="27.42578125" style="1" customWidth="1"/>
    <col min="1551" max="1551" width="12.85546875" style="1" customWidth="1"/>
    <col min="1552" max="1552" width="0" style="1" hidden="1" customWidth="1"/>
    <col min="1553" max="1553" width="40.42578125" style="1" customWidth="1"/>
    <col min="1554" max="1554" width="9.140625" style="1" customWidth="1"/>
    <col min="1555" max="1556" width="11" style="1" customWidth="1"/>
    <col min="1557" max="1557" width="12.28515625" style="1" customWidth="1"/>
    <col min="1558" max="1560" width="12.85546875" style="1" customWidth="1"/>
    <col min="1561" max="1561" width="10.7109375" style="1" customWidth="1"/>
    <col min="1562" max="1562" width="12.7109375" style="1" customWidth="1"/>
    <col min="1563" max="1563" width="10.85546875" style="1" customWidth="1"/>
    <col min="1564" max="1564" width="11.28515625" style="1" customWidth="1"/>
    <col min="1565" max="1565" width="9.7109375" style="1" customWidth="1"/>
    <col min="1566" max="1566" width="11.140625" style="1" customWidth="1"/>
    <col min="1567" max="1567" width="12.42578125" style="1" customWidth="1"/>
    <col min="1568" max="1573" width="9.7109375" style="1" customWidth="1"/>
    <col min="1574" max="1574" width="6.140625" style="1" customWidth="1"/>
    <col min="1575" max="1804" width="9.140625" style="1"/>
    <col min="1805" max="1805" width="6.85546875" style="1" customWidth="1"/>
    <col min="1806" max="1806" width="27.42578125" style="1" customWidth="1"/>
    <col min="1807" max="1807" width="12.85546875" style="1" customWidth="1"/>
    <col min="1808" max="1808" width="0" style="1" hidden="1" customWidth="1"/>
    <col min="1809" max="1809" width="40.42578125" style="1" customWidth="1"/>
    <col min="1810" max="1810" width="9.140625" style="1" customWidth="1"/>
    <col min="1811" max="1812" width="11" style="1" customWidth="1"/>
    <col min="1813" max="1813" width="12.28515625" style="1" customWidth="1"/>
    <col min="1814" max="1816" width="12.85546875" style="1" customWidth="1"/>
    <col min="1817" max="1817" width="10.7109375" style="1" customWidth="1"/>
    <col min="1818" max="1818" width="12.7109375" style="1" customWidth="1"/>
    <col min="1819" max="1819" width="10.85546875" style="1" customWidth="1"/>
    <col min="1820" max="1820" width="11.28515625" style="1" customWidth="1"/>
    <col min="1821" max="1821" width="9.7109375" style="1" customWidth="1"/>
    <col min="1822" max="1822" width="11.140625" style="1" customWidth="1"/>
    <col min="1823" max="1823" width="12.42578125" style="1" customWidth="1"/>
    <col min="1824" max="1829" width="9.7109375" style="1" customWidth="1"/>
    <col min="1830" max="1830" width="6.140625" style="1" customWidth="1"/>
    <col min="1831" max="2060" width="9.140625" style="1"/>
    <col min="2061" max="2061" width="6.85546875" style="1" customWidth="1"/>
    <col min="2062" max="2062" width="27.42578125" style="1" customWidth="1"/>
    <col min="2063" max="2063" width="12.85546875" style="1" customWidth="1"/>
    <col min="2064" max="2064" width="0" style="1" hidden="1" customWidth="1"/>
    <col min="2065" max="2065" width="40.42578125" style="1" customWidth="1"/>
    <col min="2066" max="2066" width="9.140625" style="1" customWidth="1"/>
    <col min="2067" max="2068" width="11" style="1" customWidth="1"/>
    <col min="2069" max="2069" width="12.28515625" style="1" customWidth="1"/>
    <col min="2070" max="2072" width="12.85546875" style="1" customWidth="1"/>
    <col min="2073" max="2073" width="10.7109375" style="1" customWidth="1"/>
    <col min="2074" max="2074" width="12.7109375" style="1" customWidth="1"/>
    <col min="2075" max="2075" width="10.85546875" style="1" customWidth="1"/>
    <col min="2076" max="2076" width="11.28515625" style="1" customWidth="1"/>
    <col min="2077" max="2077" width="9.7109375" style="1" customWidth="1"/>
    <col min="2078" max="2078" width="11.140625" style="1" customWidth="1"/>
    <col min="2079" max="2079" width="12.42578125" style="1" customWidth="1"/>
    <col min="2080" max="2085" width="9.7109375" style="1" customWidth="1"/>
    <col min="2086" max="2086" width="6.140625" style="1" customWidth="1"/>
    <col min="2087" max="2316" width="9.140625" style="1"/>
    <col min="2317" max="2317" width="6.85546875" style="1" customWidth="1"/>
    <col min="2318" max="2318" width="27.42578125" style="1" customWidth="1"/>
    <col min="2319" max="2319" width="12.85546875" style="1" customWidth="1"/>
    <col min="2320" max="2320" width="0" style="1" hidden="1" customWidth="1"/>
    <col min="2321" max="2321" width="40.42578125" style="1" customWidth="1"/>
    <col min="2322" max="2322" width="9.140625" style="1" customWidth="1"/>
    <col min="2323" max="2324" width="11" style="1" customWidth="1"/>
    <col min="2325" max="2325" width="12.28515625" style="1" customWidth="1"/>
    <col min="2326" max="2328" width="12.85546875" style="1" customWidth="1"/>
    <col min="2329" max="2329" width="10.7109375" style="1" customWidth="1"/>
    <col min="2330" max="2330" width="12.7109375" style="1" customWidth="1"/>
    <col min="2331" max="2331" width="10.85546875" style="1" customWidth="1"/>
    <col min="2332" max="2332" width="11.28515625" style="1" customWidth="1"/>
    <col min="2333" max="2333" width="9.7109375" style="1" customWidth="1"/>
    <col min="2334" max="2334" width="11.140625" style="1" customWidth="1"/>
    <col min="2335" max="2335" width="12.42578125" style="1" customWidth="1"/>
    <col min="2336" max="2341" width="9.7109375" style="1" customWidth="1"/>
    <col min="2342" max="2342" width="6.140625" style="1" customWidth="1"/>
    <col min="2343" max="2572" width="9.140625" style="1"/>
    <col min="2573" max="2573" width="6.85546875" style="1" customWidth="1"/>
    <col min="2574" max="2574" width="27.42578125" style="1" customWidth="1"/>
    <col min="2575" max="2575" width="12.85546875" style="1" customWidth="1"/>
    <col min="2576" max="2576" width="0" style="1" hidden="1" customWidth="1"/>
    <col min="2577" max="2577" width="40.42578125" style="1" customWidth="1"/>
    <col min="2578" max="2578" width="9.140625" style="1" customWidth="1"/>
    <col min="2579" max="2580" width="11" style="1" customWidth="1"/>
    <col min="2581" max="2581" width="12.28515625" style="1" customWidth="1"/>
    <col min="2582" max="2584" width="12.85546875" style="1" customWidth="1"/>
    <col min="2585" max="2585" width="10.7109375" style="1" customWidth="1"/>
    <col min="2586" max="2586" width="12.7109375" style="1" customWidth="1"/>
    <col min="2587" max="2587" width="10.85546875" style="1" customWidth="1"/>
    <col min="2588" max="2588" width="11.28515625" style="1" customWidth="1"/>
    <col min="2589" max="2589" width="9.7109375" style="1" customWidth="1"/>
    <col min="2590" max="2590" width="11.140625" style="1" customWidth="1"/>
    <col min="2591" max="2591" width="12.42578125" style="1" customWidth="1"/>
    <col min="2592" max="2597" width="9.7109375" style="1" customWidth="1"/>
    <col min="2598" max="2598" width="6.140625" style="1" customWidth="1"/>
    <col min="2599" max="2828" width="9.140625" style="1"/>
    <col min="2829" max="2829" width="6.85546875" style="1" customWidth="1"/>
    <col min="2830" max="2830" width="27.42578125" style="1" customWidth="1"/>
    <col min="2831" max="2831" width="12.85546875" style="1" customWidth="1"/>
    <col min="2832" max="2832" width="0" style="1" hidden="1" customWidth="1"/>
    <col min="2833" max="2833" width="40.42578125" style="1" customWidth="1"/>
    <col min="2834" max="2834" width="9.140625" style="1" customWidth="1"/>
    <col min="2835" max="2836" width="11" style="1" customWidth="1"/>
    <col min="2837" max="2837" width="12.28515625" style="1" customWidth="1"/>
    <col min="2838" max="2840" width="12.85546875" style="1" customWidth="1"/>
    <col min="2841" max="2841" width="10.7109375" style="1" customWidth="1"/>
    <col min="2842" max="2842" width="12.7109375" style="1" customWidth="1"/>
    <col min="2843" max="2843" width="10.85546875" style="1" customWidth="1"/>
    <col min="2844" max="2844" width="11.28515625" style="1" customWidth="1"/>
    <col min="2845" max="2845" width="9.7109375" style="1" customWidth="1"/>
    <col min="2846" max="2846" width="11.140625" style="1" customWidth="1"/>
    <col min="2847" max="2847" width="12.42578125" style="1" customWidth="1"/>
    <col min="2848" max="2853" width="9.7109375" style="1" customWidth="1"/>
    <col min="2854" max="2854" width="6.140625" style="1" customWidth="1"/>
    <col min="2855" max="3084" width="9.140625" style="1"/>
    <col min="3085" max="3085" width="6.85546875" style="1" customWidth="1"/>
    <col min="3086" max="3086" width="27.42578125" style="1" customWidth="1"/>
    <col min="3087" max="3087" width="12.85546875" style="1" customWidth="1"/>
    <col min="3088" max="3088" width="0" style="1" hidden="1" customWidth="1"/>
    <col min="3089" max="3089" width="40.42578125" style="1" customWidth="1"/>
    <col min="3090" max="3090" width="9.140625" style="1" customWidth="1"/>
    <col min="3091" max="3092" width="11" style="1" customWidth="1"/>
    <col min="3093" max="3093" width="12.28515625" style="1" customWidth="1"/>
    <col min="3094" max="3096" width="12.85546875" style="1" customWidth="1"/>
    <col min="3097" max="3097" width="10.7109375" style="1" customWidth="1"/>
    <col min="3098" max="3098" width="12.7109375" style="1" customWidth="1"/>
    <col min="3099" max="3099" width="10.85546875" style="1" customWidth="1"/>
    <col min="3100" max="3100" width="11.28515625" style="1" customWidth="1"/>
    <col min="3101" max="3101" width="9.7109375" style="1" customWidth="1"/>
    <col min="3102" max="3102" width="11.140625" style="1" customWidth="1"/>
    <col min="3103" max="3103" width="12.42578125" style="1" customWidth="1"/>
    <col min="3104" max="3109" width="9.7109375" style="1" customWidth="1"/>
    <col min="3110" max="3110" width="6.140625" style="1" customWidth="1"/>
    <col min="3111" max="3340" width="9.140625" style="1"/>
    <col min="3341" max="3341" width="6.85546875" style="1" customWidth="1"/>
    <col min="3342" max="3342" width="27.42578125" style="1" customWidth="1"/>
    <col min="3343" max="3343" width="12.85546875" style="1" customWidth="1"/>
    <col min="3344" max="3344" width="0" style="1" hidden="1" customWidth="1"/>
    <col min="3345" max="3345" width="40.42578125" style="1" customWidth="1"/>
    <col min="3346" max="3346" width="9.140625" style="1" customWidth="1"/>
    <col min="3347" max="3348" width="11" style="1" customWidth="1"/>
    <col min="3349" max="3349" width="12.28515625" style="1" customWidth="1"/>
    <col min="3350" max="3352" width="12.85546875" style="1" customWidth="1"/>
    <col min="3353" max="3353" width="10.7109375" style="1" customWidth="1"/>
    <col min="3354" max="3354" width="12.7109375" style="1" customWidth="1"/>
    <col min="3355" max="3355" width="10.85546875" style="1" customWidth="1"/>
    <col min="3356" max="3356" width="11.28515625" style="1" customWidth="1"/>
    <col min="3357" max="3357" width="9.7109375" style="1" customWidth="1"/>
    <col min="3358" max="3358" width="11.140625" style="1" customWidth="1"/>
    <col min="3359" max="3359" width="12.42578125" style="1" customWidth="1"/>
    <col min="3360" max="3365" width="9.7109375" style="1" customWidth="1"/>
    <col min="3366" max="3366" width="6.140625" style="1" customWidth="1"/>
    <col min="3367" max="3596" width="9.140625" style="1"/>
    <col min="3597" max="3597" width="6.85546875" style="1" customWidth="1"/>
    <col min="3598" max="3598" width="27.42578125" style="1" customWidth="1"/>
    <col min="3599" max="3599" width="12.85546875" style="1" customWidth="1"/>
    <col min="3600" max="3600" width="0" style="1" hidden="1" customWidth="1"/>
    <col min="3601" max="3601" width="40.42578125" style="1" customWidth="1"/>
    <col min="3602" max="3602" width="9.140625" style="1" customWidth="1"/>
    <col min="3603" max="3604" width="11" style="1" customWidth="1"/>
    <col min="3605" max="3605" width="12.28515625" style="1" customWidth="1"/>
    <col min="3606" max="3608" width="12.85546875" style="1" customWidth="1"/>
    <col min="3609" max="3609" width="10.7109375" style="1" customWidth="1"/>
    <col min="3610" max="3610" width="12.7109375" style="1" customWidth="1"/>
    <col min="3611" max="3611" width="10.85546875" style="1" customWidth="1"/>
    <col min="3612" max="3612" width="11.28515625" style="1" customWidth="1"/>
    <col min="3613" max="3613" width="9.7109375" style="1" customWidth="1"/>
    <col min="3614" max="3614" width="11.140625" style="1" customWidth="1"/>
    <col min="3615" max="3615" width="12.42578125" style="1" customWidth="1"/>
    <col min="3616" max="3621" width="9.7109375" style="1" customWidth="1"/>
    <col min="3622" max="3622" width="6.140625" style="1" customWidth="1"/>
    <col min="3623" max="3852" width="9.140625" style="1"/>
    <col min="3853" max="3853" width="6.85546875" style="1" customWidth="1"/>
    <col min="3854" max="3854" width="27.42578125" style="1" customWidth="1"/>
    <col min="3855" max="3855" width="12.85546875" style="1" customWidth="1"/>
    <col min="3856" max="3856" width="0" style="1" hidden="1" customWidth="1"/>
    <col min="3857" max="3857" width="40.42578125" style="1" customWidth="1"/>
    <col min="3858" max="3858" width="9.140625" style="1" customWidth="1"/>
    <col min="3859" max="3860" width="11" style="1" customWidth="1"/>
    <col min="3861" max="3861" width="12.28515625" style="1" customWidth="1"/>
    <col min="3862" max="3864" width="12.85546875" style="1" customWidth="1"/>
    <col min="3865" max="3865" width="10.7109375" style="1" customWidth="1"/>
    <col min="3866" max="3866" width="12.7109375" style="1" customWidth="1"/>
    <col min="3867" max="3867" width="10.85546875" style="1" customWidth="1"/>
    <col min="3868" max="3868" width="11.28515625" style="1" customWidth="1"/>
    <col min="3869" max="3869" width="9.7109375" style="1" customWidth="1"/>
    <col min="3870" max="3870" width="11.140625" style="1" customWidth="1"/>
    <col min="3871" max="3871" width="12.42578125" style="1" customWidth="1"/>
    <col min="3872" max="3877" width="9.7109375" style="1" customWidth="1"/>
    <col min="3878" max="3878" width="6.140625" style="1" customWidth="1"/>
    <col min="3879" max="4108" width="9.140625" style="1"/>
    <col min="4109" max="4109" width="6.85546875" style="1" customWidth="1"/>
    <col min="4110" max="4110" width="27.42578125" style="1" customWidth="1"/>
    <col min="4111" max="4111" width="12.85546875" style="1" customWidth="1"/>
    <col min="4112" max="4112" width="0" style="1" hidden="1" customWidth="1"/>
    <col min="4113" max="4113" width="40.42578125" style="1" customWidth="1"/>
    <col min="4114" max="4114" width="9.140625" style="1" customWidth="1"/>
    <col min="4115" max="4116" width="11" style="1" customWidth="1"/>
    <col min="4117" max="4117" width="12.28515625" style="1" customWidth="1"/>
    <col min="4118" max="4120" width="12.85546875" style="1" customWidth="1"/>
    <col min="4121" max="4121" width="10.7109375" style="1" customWidth="1"/>
    <col min="4122" max="4122" width="12.7109375" style="1" customWidth="1"/>
    <col min="4123" max="4123" width="10.85546875" style="1" customWidth="1"/>
    <col min="4124" max="4124" width="11.28515625" style="1" customWidth="1"/>
    <col min="4125" max="4125" width="9.7109375" style="1" customWidth="1"/>
    <col min="4126" max="4126" width="11.140625" style="1" customWidth="1"/>
    <col min="4127" max="4127" width="12.42578125" style="1" customWidth="1"/>
    <col min="4128" max="4133" width="9.7109375" style="1" customWidth="1"/>
    <col min="4134" max="4134" width="6.140625" style="1" customWidth="1"/>
    <col min="4135" max="4364" width="9.140625" style="1"/>
    <col min="4365" max="4365" width="6.85546875" style="1" customWidth="1"/>
    <col min="4366" max="4366" width="27.42578125" style="1" customWidth="1"/>
    <col min="4367" max="4367" width="12.85546875" style="1" customWidth="1"/>
    <col min="4368" max="4368" width="0" style="1" hidden="1" customWidth="1"/>
    <col min="4369" max="4369" width="40.42578125" style="1" customWidth="1"/>
    <col min="4370" max="4370" width="9.140625" style="1" customWidth="1"/>
    <col min="4371" max="4372" width="11" style="1" customWidth="1"/>
    <col min="4373" max="4373" width="12.28515625" style="1" customWidth="1"/>
    <col min="4374" max="4376" width="12.85546875" style="1" customWidth="1"/>
    <col min="4377" max="4377" width="10.7109375" style="1" customWidth="1"/>
    <col min="4378" max="4378" width="12.7109375" style="1" customWidth="1"/>
    <col min="4379" max="4379" width="10.85546875" style="1" customWidth="1"/>
    <col min="4380" max="4380" width="11.28515625" style="1" customWidth="1"/>
    <col min="4381" max="4381" width="9.7109375" style="1" customWidth="1"/>
    <col min="4382" max="4382" width="11.140625" style="1" customWidth="1"/>
    <col min="4383" max="4383" width="12.42578125" style="1" customWidth="1"/>
    <col min="4384" max="4389" width="9.7109375" style="1" customWidth="1"/>
    <col min="4390" max="4390" width="6.140625" style="1" customWidth="1"/>
    <col min="4391" max="4620" width="9.140625" style="1"/>
    <col min="4621" max="4621" width="6.85546875" style="1" customWidth="1"/>
    <col min="4622" max="4622" width="27.42578125" style="1" customWidth="1"/>
    <col min="4623" max="4623" width="12.85546875" style="1" customWidth="1"/>
    <col min="4624" max="4624" width="0" style="1" hidden="1" customWidth="1"/>
    <col min="4625" max="4625" width="40.42578125" style="1" customWidth="1"/>
    <col min="4626" max="4626" width="9.140625" style="1" customWidth="1"/>
    <col min="4627" max="4628" width="11" style="1" customWidth="1"/>
    <col min="4629" max="4629" width="12.28515625" style="1" customWidth="1"/>
    <col min="4630" max="4632" width="12.85546875" style="1" customWidth="1"/>
    <col min="4633" max="4633" width="10.7109375" style="1" customWidth="1"/>
    <col min="4634" max="4634" width="12.7109375" style="1" customWidth="1"/>
    <col min="4635" max="4635" width="10.85546875" style="1" customWidth="1"/>
    <col min="4636" max="4636" width="11.28515625" style="1" customWidth="1"/>
    <col min="4637" max="4637" width="9.7109375" style="1" customWidth="1"/>
    <col min="4638" max="4638" width="11.140625" style="1" customWidth="1"/>
    <col min="4639" max="4639" width="12.42578125" style="1" customWidth="1"/>
    <col min="4640" max="4645" width="9.7109375" style="1" customWidth="1"/>
    <col min="4646" max="4646" width="6.140625" style="1" customWidth="1"/>
    <col min="4647" max="4876" width="9.140625" style="1"/>
    <col min="4877" max="4877" width="6.85546875" style="1" customWidth="1"/>
    <col min="4878" max="4878" width="27.42578125" style="1" customWidth="1"/>
    <col min="4879" max="4879" width="12.85546875" style="1" customWidth="1"/>
    <col min="4880" max="4880" width="0" style="1" hidden="1" customWidth="1"/>
    <col min="4881" max="4881" width="40.42578125" style="1" customWidth="1"/>
    <col min="4882" max="4882" width="9.140625" style="1" customWidth="1"/>
    <col min="4883" max="4884" width="11" style="1" customWidth="1"/>
    <col min="4885" max="4885" width="12.28515625" style="1" customWidth="1"/>
    <col min="4886" max="4888" width="12.85546875" style="1" customWidth="1"/>
    <col min="4889" max="4889" width="10.7109375" style="1" customWidth="1"/>
    <col min="4890" max="4890" width="12.7109375" style="1" customWidth="1"/>
    <col min="4891" max="4891" width="10.85546875" style="1" customWidth="1"/>
    <col min="4892" max="4892" width="11.28515625" style="1" customWidth="1"/>
    <col min="4893" max="4893" width="9.7109375" style="1" customWidth="1"/>
    <col min="4894" max="4894" width="11.140625" style="1" customWidth="1"/>
    <col min="4895" max="4895" width="12.42578125" style="1" customWidth="1"/>
    <col min="4896" max="4901" width="9.7109375" style="1" customWidth="1"/>
    <col min="4902" max="4902" width="6.140625" style="1" customWidth="1"/>
    <col min="4903" max="5132" width="9.140625" style="1"/>
    <col min="5133" max="5133" width="6.85546875" style="1" customWidth="1"/>
    <col min="5134" max="5134" width="27.42578125" style="1" customWidth="1"/>
    <col min="5135" max="5135" width="12.85546875" style="1" customWidth="1"/>
    <col min="5136" max="5136" width="0" style="1" hidden="1" customWidth="1"/>
    <col min="5137" max="5137" width="40.42578125" style="1" customWidth="1"/>
    <col min="5138" max="5138" width="9.140625" style="1" customWidth="1"/>
    <col min="5139" max="5140" width="11" style="1" customWidth="1"/>
    <col min="5141" max="5141" width="12.28515625" style="1" customWidth="1"/>
    <col min="5142" max="5144" width="12.85546875" style="1" customWidth="1"/>
    <col min="5145" max="5145" width="10.7109375" style="1" customWidth="1"/>
    <col min="5146" max="5146" width="12.7109375" style="1" customWidth="1"/>
    <col min="5147" max="5147" width="10.85546875" style="1" customWidth="1"/>
    <col min="5148" max="5148" width="11.28515625" style="1" customWidth="1"/>
    <col min="5149" max="5149" width="9.7109375" style="1" customWidth="1"/>
    <col min="5150" max="5150" width="11.140625" style="1" customWidth="1"/>
    <col min="5151" max="5151" width="12.42578125" style="1" customWidth="1"/>
    <col min="5152" max="5157" width="9.7109375" style="1" customWidth="1"/>
    <col min="5158" max="5158" width="6.140625" style="1" customWidth="1"/>
    <col min="5159" max="5388" width="9.140625" style="1"/>
    <col min="5389" max="5389" width="6.85546875" style="1" customWidth="1"/>
    <col min="5390" max="5390" width="27.42578125" style="1" customWidth="1"/>
    <col min="5391" max="5391" width="12.85546875" style="1" customWidth="1"/>
    <col min="5392" max="5392" width="0" style="1" hidden="1" customWidth="1"/>
    <col min="5393" max="5393" width="40.42578125" style="1" customWidth="1"/>
    <col min="5394" max="5394" width="9.140625" style="1" customWidth="1"/>
    <col min="5395" max="5396" width="11" style="1" customWidth="1"/>
    <col min="5397" max="5397" width="12.28515625" style="1" customWidth="1"/>
    <col min="5398" max="5400" width="12.85546875" style="1" customWidth="1"/>
    <col min="5401" max="5401" width="10.7109375" style="1" customWidth="1"/>
    <col min="5402" max="5402" width="12.7109375" style="1" customWidth="1"/>
    <col min="5403" max="5403" width="10.85546875" style="1" customWidth="1"/>
    <col min="5404" max="5404" width="11.28515625" style="1" customWidth="1"/>
    <col min="5405" max="5405" width="9.7109375" style="1" customWidth="1"/>
    <col min="5406" max="5406" width="11.140625" style="1" customWidth="1"/>
    <col min="5407" max="5407" width="12.42578125" style="1" customWidth="1"/>
    <col min="5408" max="5413" width="9.7109375" style="1" customWidth="1"/>
    <col min="5414" max="5414" width="6.140625" style="1" customWidth="1"/>
    <col min="5415" max="5644" width="9.140625" style="1"/>
    <col min="5645" max="5645" width="6.85546875" style="1" customWidth="1"/>
    <col min="5646" max="5646" width="27.42578125" style="1" customWidth="1"/>
    <col min="5647" max="5647" width="12.85546875" style="1" customWidth="1"/>
    <col min="5648" max="5648" width="0" style="1" hidden="1" customWidth="1"/>
    <col min="5649" max="5649" width="40.42578125" style="1" customWidth="1"/>
    <col min="5650" max="5650" width="9.140625" style="1" customWidth="1"/>
    <col min="5651" max="5652" width="11" style="1" customWidth="1"/>
    <col min="5653" max="5653" width="12.28515625" style="1" customWidth="1"/>
    <col min="5654" max="5656" width="12.85546875" style="1" customWidth="1"/>
    <col min="5657" max="5657" width="10.7109375" style="1" customWidth="1"/>
    <col min="5658" max="5658" width="12.7109375" style="1" customWidth="1"/>
    <col min="5659" max="5659" width="10.85546875" style="1" customWidth="1"/>
    <col min="5660" max="5660" width="11.28515625" style="1" customWidth="1"/>
    <col min="5661" max="5661" width="9.7109375" style="1" customWidth="1"/>
    <col min="5662" max="5662" width="11.140625" style="1" customWidth="1"/>
    <col min="5663" max="5663" width="12.42578125" style="1" customWidth="1"/>
    <col min="5664" max="5669" width="9.7109375" style="1" customWidth="1"/>
    <col min="5670" max="5670" width="6.140625" style="1" customWidth="1"/>
    <col min="5671" max="5900" width="9.140625" style="1"/>
    <col min="5901" max="5901" width="6.85546875" style="1" customWidth="1"/>
    <col min="5902" max="5902" width="27.42578125" style="1" customWidth="1"/>
    <col min="5903" max="5903" width="12.85546875" style="1" customWidth="1"/>
    <col min="5904" max="5904" width="0" style="1" hidden="1" customWidth="1"/>
    <col min="5905" max="5905" width="40.42578125" style="1" customWidth="1"/>
    <col min="5906" max="5906" width="9.140625" style="1" customWidth="1"/>
    <col min="5907" max="5908" width="11" style="1" customWidth="1"/>
    <col min="5909" max="5909" width="12.28515625" style="1" customWidth="1"/>
    <col min="5910" max="5912" width="12.85546875" style="1" customWidth="1"/>
    <col min="5913" max="5913" width="10.7109375" style="1" customWidth="1"/>
    <col min="5914" max="5914" width="12.7109375" style="1" customWidth="1"/>
    <col min="5915" max="5915" width="10.85546875" style="1" customWidth="1"/>
    <col min="5916" max="5916" width="11.28515625" style="1" customWidth="1"/>
    <col min="5917" max="5917" width="9.7109375" style="1" customWidth="1"/>
    <col min="5918" max="5918" width="11.140625" style="1" customWidth="1"/>
    <col min="5919" max="5919" width="12.42578125" style="1" customWidth="1"/>
    <col min="5920" max="5925" width="9.7109375" style="1" customWidth="1"/>
    <col min="5926" max="5926" width="6.140625" style="1" customWidth="1"/>
    <col min="5927" max="6156" width="9.140625" style="1"/>
    <col min="6157" max="6157" width="6.85546875" style="1" customWidth="1"/>
    <col min="6158" max="6158" width="27.42578125" style="1" customWidth="1"/>
    <col min="6159" max="6159" width="12.85546875" style="1" customWidth="1"/>
    <col min="6160" max="6160" width="0" style="1" hidden="1" customWidth="1"/>
    <col min="6161" max="6161" width="40.42578125" style="1" customWidth="1"/>
    <col min="6162" max="6162" width="9.140625" style="1" customWidth="1"/>
    <col min="6163" max="6164" width="11" style="1" customWidth="1"/>
    <col min="6165" max="6165" width="12.28515625" style="1" customWidth="1"/>
    <col min="6166" max="6168" width="12.85546875" style="1" customWidth="1"/>
    <col min="6169" max="6169" width="10.7109375" style="1" customWidth="1"/>
    <col min="6170" max="6170" width="12.7109375" style="1" customWidth="1"/>
    <col min="6171" max="6171" width="10.85546875" style="1" customWidth="1"/>
    <col min="6172" max="6172" width="11.28515625" style="1" customWidth="1"/>
    <col min="6173" max="6173" width="9.7109375" style="1" customWidth="1"/>
    <col min="6174" max="6174" width="11.140625" style="1" customWidth="1"/>
    <col min="6175" max="6175" width="12.42578125" style="1" customWidth="1"/>
    <col min="6176" max="6181" width="9.7109375" style="1" customWidth="1"/>
    <col min="6182" max="6182" width="6.140625" style="1" customWidth="1"/>
    <col min="6183" max="6412" width="9.140625" style="1"/>
    <col min="6413" max="6413" width="6.85546875" style="1" customWidth="1"/>
    <col min="6414" max="6414" width="27.42578125" style="1" customWidth="1"/>
    <col min="6415" max="6415" width="12.85546875" style="1" customWidth="1"/>
    <col min="6416" max="6416" width="0" style="1" hidden="1" customWidth="1"/>
    <col min="6417" max="6417" width="40.42578125" style="1" customWidth="1"/>
    <col min="6418" max="6418" width="9.140625" style="1" customWidth="1"/>
    <col min="6419" max="6420" width="11" style="1" customWidth="1"/>
    <col min="6421" max="6421" width="12.28515625" style="1" customWidth="1"/>
    <col min="6422" max="6424" width="12.85546875" style="1" customWidth="1"/>
    <col min="6425" max="6425" width="10.7109375" style="1" customWidth="1"/>
    <col min="6426" max="6426" width="12.7109375" style="1" customWidth="1"/>
    <col min="6427" max="6427" width="10.85546875" style="1" customWidth="1"/>
    <col min="6428" max="6428" width="11.28515625" style="1" customWidth="1"/>
    <col min="6429" max="6429" width="9.7109375" style="1" customWidth="1"/>
    <col min="6430" max="6430" width="11.140625" style="1" customWidth="1"/>
    <col min="6431" max="6431" width="12.42578125" style="1" customWidth="1"/>
    <col min="6432" max="6437" width="9.7109375" style="1" customWidth="1"/>
    <col min="6438" max="6438" width="6.140625" style="1" customWidth="1"/>
    <col min="6439" max="6668" width="9.140625" style="1"/>
    <col min="6669" max="6669" width="6.85546875" style="1" customWidth="1"/>
    <col min="6670" max="6670" width="27.42578125" style="1" customWidth="1"/>
    <col min="6671" max="6671" width="12.85546875" style="1" customWidth="1"/>
    <col min="6672" max="6672" width="0" style="1" hidden="1" customWidth="1"/>
    <col min="6673" max="6673" width="40.42578125" style="1" customWidth="1"/>
    <col min="6674" max="6674" width="9.140625" style="1" customWidth="1"/>
    <col min="6675" max="6676" width="11" style="1" customWidth="1"/>
    <col min="6677" max="6677" width="12.28515625" style="1" customWidth="1"/>
    <col min="6678" max="6680" width="12.85546875" style="1" customWidth="1"/>
    <col min="6681" max="6681" width="10.7109375" style="1" customWidth="1"/>
    <col min="6682" max="6682" width="12.7109375" style="1" customWidth="1"/>
    <col min="6683" max="6683" width="10.85546875" style="1" customWidth="1"/>
    <col min="6684" max="6684" width="11.28515625" style="1" customWidth="1"/>
    <col min="6685" max="6685" width="9.7109375" style="1" customWidth="1"/>
    <col min="6686" max="6686" width="11.140625" style="1" customWidth="1"/>
    <col min="6687" max="6687" width="12.42578125" style="1" customWidth="1"/>
    <col min="6688" max="6693" width="9.7109375" style="1" customWidth="1"/>
    <col min="6694" max="6694" width="6.140625" style="1" customWidth="1"/>
    <col min="6695" max="6924" width="9.140625" style="1"/>
    <col min="6925" max="6925" width="6.85546875" style="1" customWidth="1"/>
    <col min="6926" max="6926" width="27.42578125" style="1" customWidth="1"/>
    <col min="6927" max="6927" width="12.85546875" style="1" customWidth="1"/>
    <col min="6928" max="6928" width="0" style="1" hidden="1" customWidth="1"/>
    <col min="6929" max="6929" width="40.42578125" style="1" customWidth="1"/>
    <col min="6930" max="6930" width="9.140625" style="1" customWidth="1"/>
    <col min="6931" max="6932" width="11" style="1" customWidth="1"/>
    <col min="6933" max="6933" width="12.28515625" style="1" customWidth="1"/>
    <col min="6934" max="6936" width="12.85546875" style="1" customWidth="1"/>
    <col min="6937" max="6937" width="10.7109375" style="1" customWidth="1"/>
    <col min="6938" max="6938" width="12.7109375" style="1" customWidth="1"/>
    <col min="6939" max="6939" width="10.85546875" style="1" customWidth="1"/>
    <col min="6940" max="6940" width="11.28515625" style="1" customWidth="1"/>
    <col min="6941" max="6941" width="9.7109375" style="1" customWidth="1"/>
    <col min="6942" max="6942" width="11.140625" style="1" customWidth="1"/>
    <col min="6943" max="6943" width="12.42578125" style="1" customWidth="1"/>
    <col min="6944" max="6949" width="9.7109375" style="1" customWidth="1"/>
    <col min="6950" max="6950" width="6.140625" style="1" customWidth="1"/>
    <col min="6951" max="7180" width="9.140625" style="1"/>
    <col min="7181" max="7181" width="6.85546875" style="1" customWidth="1"/>
    <col min="7182" max="7182" width="27.42578125" style="1" customWidth="1"/>
    <col min="7183" max="7183" width="12.85546875" style="1" customWidth="1"/>
    <col min="7184" max="7184" width="0" style="1" hidden="1" customWidth="1"/>
    <col min="7185" max="7185" width="40.42578125" style="1" customWidth="1"/>
    <col min="7186" max="7186" width="9.140625" style="1" customWidth="1"/>
    <col min="7187" max="7188" width="11" style="1" customWidth="1"/>
    <col min="7189" max="7189" width="12.28515625" style="1" customWidth="1"/>
    <col min="7190" max="7192" width="12.85546875" style="1" customWidth="1"/>
    <col min="7193" max="7193" width="10.7109375" style="1" customWidth="1"/>
    <col min="7194" max="7194" width="12.7109375" style="1" customWidth="1"/>
    <col min="7195" max="7195" width="10.85546875" style="1" customWidth="1"/>
    <col min="7196" max="7196" width="11.28515625" style="1" customWidth="1"/>
    <col min="7197" max="7197" width="9.7109375" style="1" customWidth="1"/>
    <col min="7198" max="7198" width="11.140625" style="1" customWidth="1"/>
    <col min="7199" max="7199" width="12.42578125" style="1" customWidth="1"/>
    <col min="7200" max="7205" width="9.7109375" style="1" customWidth="1"/>
    <col min="7206" max="7206" width="6.140625" style="1" customWidth="1"/>
    <col min="7207" max="7436" width="9.140625" style="1"/>
    <col min="7437" max="7437" width="6.85546875" style="1" customWidth="1"/>
    <col min="7438" max="7438" width="27.42578125" style="1" customWidth="1"/>
    <col min="7439" max="7439" width="12.85546875" style="1" customWidth="1"/>
    <col min="7440" max="7440" width="0" style="1" hidden="1" customWidth="1"/>
    <col min="7441" max="7441" width="40.42578125" style="1" customWidth="1"/>
    <col min="7442" max="7442" width="9.140625" style="1" customWidth="1"/>
    <col min="7443" max="7444" width="11" style="1" customWidth="1"/>
    <col min="7445" max="7445" width="12.28515625" style="1" customWidth="1"/>
    <col min="7446" max="7448" width="12.85546875" style="1" customWidth="1"/>
    <col min="7449" max="7449" width="10.7109375" style="1" customWidth="1"/>
    <col min="7450" max="7450" width="12.7109375" style="1" customWidth="1"/>
    <col min="7451" max="7451" width="10.85546875" style="1" customWidth="1"/>
    <col min="7452" max="7452" width="11.28515625" style="1" customWidth="1"/>
    <col min="7453" max="7453" width="9.7109375" style="1" customWidth="1"/>
    <col min="7454" max="7454" width="11.140625" style="1" customWidth="1"/>
    <col min="7455" max="7455" width="12.42578125" style="1" customWidth="1"/>
    <col min="7456" max="7461" width="9.7109375" style="1" customWidth="1"/>
    <col min="7462" max="7462" width="6.140625" style="1" customWidth="1"/>
    <col min="7463" max="7692" width="9.140625" style="1"/>
    <col min="7693" max="7693" width="6.85546875" style="1" customWidth="1"/>
    <col min="7694" max="7694" width="27.42578125" style="1" customWidth="1"/>
    <col min="7695" max="7695" width="12.85546875" style="1" customWidth="1"/>
    <col min="7696" max="7696" width="0" style="1" hidden="1" customWidth="1"/>
    <col min="7697" max="7697" width="40.42578125" style="1" customWidth="1"/>
    <col min="7698" max="7698" width="9.140625" style="1" customWidth="1"/>
    <col min="7699" max="7700" width="11" style="1" customWidth="1"/>
    <col min="7701" max="7701" width="12.28515625" style="1" customWidth="1"/>
    <col min="7702" max="7704" width="12.85546875" style="1" customWidth="1"/>
    <col min="7705" max="7705" width="10.7109375" style="1" customWidth="1"/>
    <col min="7706" max="7706" width="12.7109375" style="1" customWidth="1"/>
    <col min="7707" max="7707" width="10.85546875" style="1" customWidth="1"/>
    <col min="7708" max="7708" width="11.28515625" style="1" customWidth="1"/>
    <col min="7709" max="7709" width="9.7109375" style="1" customWidth="1"/>
    <col min="7710" max="7710" width="11.140625" style="1" customWidth="1"/>
    <col min="7711" max="7711" width="12.42578125" style="1" customWidth="1"/>
    <col min="7712" max="7717" width="9.7109375" style="1" customWidth="1"/>
    <col min="7718" max="7718" width="6.140625" style="1" customWidth="1"/>
    <col min="7719" max="7948" width="9.140625" style="1"/>
    <col min="7949" max="7949" width="6.85546875" style="1" customWidth="1"/>
    <col min="7950" max="7950" width="27.42578125" style="1" customWidth="1"/>
    <col min="7951" max="7951" width="12.85546875" style="1" customWidth="1"/>
    <col min="7952" max="7952" width="0" style="1" hidden="1" customWidth="1"/>
    <col min="7953" max="7953" width="40.42578125" style="1" customWidth="1"/>
    <col min="7954" max="7954" width="9.140625" style="1" customWidth="1"/>
    <col min="7955" max="7956" width="11" style="1" customWidth="1"/>
    <col min="7957" max="7957" width="12.28515625" style="1" customWidth="1"/>
    <col min="7958" max="7960" width="12.85546875" style="1" customWidth="1"/>
    <col min="7961" max="7961" width="10.7109375" style="1" customWidth="1"/>
    <col min="7962" max="7962" width="12.7109375" style="1" customWidth="1"/>
    <col min="7963" max="7963" width="10.85546875" style="1" customWidth="1"/>
    <col min="7964" max="7964" width="11.28515625" style="1" customWidth="1"/>
    <col min="7965" max="7965" width="9.7109375" style="1" customWidth="1"/>
    <col min="7966" max="7966" width="11.140625" style="1" customWidth="1"/>
    <col min="7967" max="7967" width="12.42578125" style="1" customWidth="1"/>
    <col min="7968" max="7973" width="9.7109375" style="1" customWidth="1"/>
    <col min="7974" max="7974" width="6.140625" style="1" customWidth="1"/>
    <col min="7975" max="8204" width="9.140625" style="1"/>
    <col min="8205" max="8205" width="6.85546875" style="1" customWidth="1"/>
    <col min="8206" max="8206" width="27.42578125" style="1" customWidth="1"/>
    <col min="8207" max="8207" width="12.85546875" style="1" customWidth="1"/>
    <col min="8208" max="8208" width="0" style="1" hidden="1" customWidth="1"/>
    <col min="8209" max="8209" width="40.42578125" style="1" customWidth="1"/>
    <col min="8210" max="8210" width="9.140625" style="1" customWidth="1"/>
    <col min="8211" max="8212" width="11" style="1" customWidth="1"/>
    <col min="8213" max="8213" width="12.28515625" style="1" customWidth="1"/>
    <col min="8214" max="8216" width="12.85546875" style="1" customWidth="1"/>
    <col min="8217" max="8217" width="10.7109375" style="1" customWidth="1"/>
    <col min="8218" max="8218" width="12.7109375" style="1" customWidth="1"/>
    <col min="8219" max="8219" width="10.85546875" style="1" customWidth="1"/>
    <col min="8220" max="8220" width="11.28515625" style="1" customWidth="1"/>
    <col min="8221" max="8221" width="9.7109375" style="1" customWidth="1"/>
    <col min="8222" max="8222" width="11.140625" style="1" customWidth="1"/>
    <col min="8223" max="8223" width="12.42578125" style="1" customWidth="1"/>
    <col min="8224" max="8229" width="9.7109375" style="1" customWidth="1"/>
    <col min="8230" max="8230" width="6.140625" style="1" customWidth="1"/>
    <col min="8231" max="8460" width="9.140625" style="1"/>
    <col min="8461" max="8461" width="6.85546875" style="1" customWidth="1"/>
    <col min="8462" max="8462" width="27.42578125" style="1" customWidth="1"/>
    <col min="8463" max="8463" width="12.85546875" style="1" customWidth="1"/>
    <col min="8464" max="8464" width="0" style="1" hidden="1" customWidth="1"/>
    <col min="8465" max="8465" width="40.42578125" style="1" customWidth="1"/>
    <col min="8466" max="8466" width="9.140625" style="1" customWidth="1"/>
    <col min="8467" max="8468" width="11" style="1" customWidth="1"/>
    <col min="8469" max="8469" width="12.28515625" style="1" customWidth="1"/>
    <col min="8470" max="8472" width="12.85546875" style="1" customWidth="1"/>
    <col min="8473" max="8473" width="10.7109375" style="1" customWidth="1"/>
    <col min="8474" max="8474" width="12.7109375" style="1" customWidth="1"/>
    <col min="8475" max="8475" width="10.85546875" style="1" customWidth="1"/>
    <col min="8476" max="8476" width="11.28515625" style="1" customWidth="1"/>
    <col min="8477" max="8477" width="9.7109375" style="1" customWidth="1"/>
    <col min="8478" max="8478" width="11.140625" style="1" customWidth="1"/>
    <col min="8479" max="8479" width="12.42578125" style="1" customWidth="1"/>
    <col min="8480" max="8485" width="9.7109375" style="1" customWidth="1"/>
    <col min="8486" max="8486" width="6.140625" style="1" customWidth="1"/>
    <col min="8487" max="8716" width="9.140625" style="1"/>
    <col min="8717" max="8717" width="6.85546875" style="1" customWidth="1"/>
    <col min="8718" max="8718" width="27.42578125" style="1" customWidth="1"/>
    <col min="8719" max="8719" width="12.85546875" style="1" customWidth="1"/>
    <col min="8720" max="8720" width="0" style="1" hidden="1" customWidth="1"/>
    <col min="8721" max="8721" width="40.42578125" style="1" customWidth="1"/>
    <col min="8722" max="8722" width="9.140625" style="1" customWidth="1"/>
    <col min="8723" max="8724" width="11" style="1" customWidth="1"/>
    <col min="8725" max="8725" width="12.28515625" style="1" customWidth="1"/>
    <col min="8726" max="8728" width="12.85546875" style="1" customWidth="1"/>
    <col min="8729" max="8729" width="10.7109375" style="1" customWidth="1"/>
    <col min="8730" max="8730" width="12.7109375" style="1" customWidth="1"/>
    <col min="8731" max="8731" width="10.85546875" style="1" customWidth="1"/>
    <col min="8732" max="8732" width="11.28515625" style="1" customWidth="1"/>
    <col min="8733" max="8733" width="9.7109375" style="1" customWidth="1"/>
    <col min="8734" max="8734" width="11.140625" style="1" customWidth="1"/>
    <col min="8735" max="8735" width="12.42578125" style="1" customWidth="1"/>
    <col min="8736" max="8741" width="9.7109375" style="1" customWidth="1"/>
    <col min="8742" max="8742" width="6.140625" style="1" customWidth="1"/>
    <col min="8743" max="8972" width="9.140625" style="1"/>
    <col min="8973" max="8973" width="6.85546875" style="1" customWidth="1"/>
    <col min="8974" max="8974" width="27.42578125" style="1" customWidth="1"/>
    <col min="8975" max="8975" width="12.85546875" style="1" customWidth="1"/>
    <col min="8976" max="8976" width="0" style="1" hidden="1" customWidth="1"/>
    <col min="8977" max="8977" width="40.42578125" style="1" customWidth="1"/>
    <col min="8978" max="8978" width="9.140625" style="1" customWidth="1"/>
    <col min="8979" max="8980" width="11" style="1" customWidth="1"/>
    <col min="8981" max="8981" width="12.28515625" style="1" customWidth="1"/>
    <col min="8982" max="8984" width="12.85546875" style="1" customWidth="1"/>
    <col min="8985" max="8985" width="10.7109375" style="1" customWidth="1"/>
    <col min="8986" max="8986" width="12.7109375" style="1" customWidth="1"/>
    <col min="8987" max="8987" width="10.85546875" style="1" customWidth="1"/>
    <col min="8988" max="8988" width="11.28515625" style="1" customWidth="1"/>
    <col min="8989" max="8989" width="9.7109375" style="1" customWidth="1"/>
    <col min="8990" max="8990" width="11.140625" style="1" customWidth="1"/>
    <col min="8991" max="8991" width="12.42578125" style="1" customWidth="1"/>
    <col min="8992" max="8997" width="9.7109375" style="1" customWidth="1"/>
    <col min="8998" max="8998" width="6.140625" style="1" customWidth="1"/>
    <col min="8999" max="9228" width="9.140625" style="1"/>
    <col min="9229" max="9229" width="6.85546875" style="1" customWidth="1"/>
    <col min="9230" max="9230" width="27.42578125" style="1" customWidth="1"/>
    <col min="9231" max="9231" width="12.85546875" style="1" customWidth="1"/>
    <col min="9232" max="9232" width="0" style="1" hidden="1" customWidth="1"/>
    <col min="9233" max="9233" width="40.42578125" style="1" customWidth="1"/>
    <col min="9234" max="9234" width="9.140625" style="1" customWidth="1"/>
    <col min="9235" max="9236" width="11" style="1" customWidth="1"/>
    <col min="9237" max="9237" width="12.28515625" style="1" customWidth="1"/>
    <col min="9238" max="9240" width="12.85546875" style="1" customWidth="1"/>
    <col min="9241" max="9241" width="10.7109375" style="1" customWidth="1"/>
    <col min="9242" max="9242" width="12.7109375" style="1" customWidth="1"/>
    <col min="9243" max="9243" width="10.85546875" style="1" customWidth="1"/>
    <col min="9244" max="9244" width="11.28515625" style="1" customWidth="1"/>
    <col min="9245" max="9245" width="9.7109375" style="1" customWidth="1"/>
    <col min="9246" max="9246" width="11.140625" style="1" customWidth="1"/>
    <col min="9247" max="9247" width="12.42578125" style="1" customWidth="1"/>
    <col min="9248" max="9253" width="9.7109375" style="1" customWidth="1"/>
    <col min="9254" max="9254" width="6.140625" style="1" customWidth="1"/>
    <col min="9255" max="9484" width="9.140625" style="1"/>
    <col min="9485" max="9485" width="6.85546875" style="1" customWidth="1"/>
    <col min="9486" max="9486" width="27.42578125" style="1" customWidth="1"/>
    <col min="9487" max="9487" width="12.85546875" style="1" customWidth="1"/>
    <col min="9488" max="9488" width="0" style="1" hidden="1" customWidth="1"/>
    <col min="9489" max="9489" width="40.42578125" style="1" customWidth="1"/>
    <col min="9490" max="9490" width="9.140625" style="1" customWidth="1"/>
    <col min="9491" max="9492" width="11" style="1" customWidth="1"/>
    <col min="9493" max="9493" width="12.28515625" style="1" customWidth="1"/>
    <col min="9494" max="9496" width="12.85546875" style="1" customWidth="1"/>
    <col min="9497" max="9497" width="10.7109375" style="1" customWidth="1"/>
    <col min="9498" max="9498" width="12.7109375" style="1" customWidth="1"/>
    <col min="9499" max="9499" width="10.85546875" style="1" customWidth="1"/>
    <col min="9500" max="9500" width="11.28515625" style="1" customWidth="1"/>
    <col min="9501" max="9501" width="9.7109375" style="1" customWidth="1"/>
    <col min="9502" max="9502" width="11.140625" style="1" customWidth="1"/>
    <col min="9503" max="9503" width="12.42578125" style="1" customWidth="1"/>
    <col min="9504" max="9509" width="9.7109375" style="1" customWidth="1"/>
    <col min="9510" max="9510" width="6.140625" style="1" customWidth="1"/>
    <col min="9511" max="9740" width="9.140625" style="1"/>
    <col min="9741" max="9741" width="6.85546875" style="1" customWidth="1"/>
    <col min="9742" max="9742" width="27.42578125" style="1" customWidth="1"/>
    <col min="9743" max="9743" width="12.85546875" style="1" customWidth="1"/>
    <col min="9744" max="9744" width="0" style="1" hidden="1" customWidth="1"/>
    <col min="9745" max="9745" width="40.42578125" style="1" customWidth="1"/>
    <col min="9746" max="9746" width="9.140625" style="1" customWidth="1"/>
    <col min="9747" max="9748" width="11" style="1" customWidth="1"/>
    <col min="9749" max="9749" width="12.28515625" style="1" customWidth="1"/>
    <col min="9750" max="9752" width="12.85546875" style="1" customWidth="1"/>
    <col min="9753" max="9753" width="10.7109375" style="1" customWidth="1"/>
    <col min="9754" max="9754" width="12.7109375" style="1" customWidth="1"/>
    <col min="9755" max="9755" width="10.85546875" style="1" customWidth="1"/>
    <col min="9756" max="9756" width="11.28515625" style="1" customWidth="1"/>
    <col min="9757" max="9757" width="9.7109375" style="1" customWidth="1"/>
    <col min="9758" max="9758" width="11.140625" style="1" customWidth="1"/>
    <col min="9759" max="9759" width="12.42578125" style="1" customWidth="1"/>
    <col min="9760" max="9765" width="9.7109375" style="1" customWidth="1"/>
    <col min="9766" max="9766" width="6.140625" style="1" customWidth="1"/>
    <col min="9767" max="9996" width="9.140625" style="1"/>
    <col min="9997" max="9997" width="6.85546875" style="1" customWidth="1"/>
    <col min="9998" max="9998" width="27.42578125" style="1" customWidth="1"/>
    <col min="9999" max="9999" width="12.85546875" style="1" customWidth="1"/>
    <col min="10000" max="10000" width="0" style="1" hidden="1" customWidth="1"/>
    <col min="10001" max="10001" width="40.42578125" style="1" customWidth="1"/>
    <col min="10002" max="10002" width="9.140625" style="1" customWidth="1"/>
    <col min="10003" max="10004" width="11" style="1" customWidth="1"/>
    <col min="10005" max="10005" width="12.28515625" style="1" customWidth="1"/>
    <col min="10006" max="10008" width="12.85546875" style="1" customWidth="1"/>
    <col min="10009" max="10009" width="10.7109375" style="1" customWidth="1"/>
    <col min="10010" max="10010" width="12.7109375" style="1" customWidth="1"/>
    <col min="10011" max="10011" width="10.85546875" style="1" customWidth="1"/>
    <col min="10012" max="10012" width="11.28515625" style="1" customWidth="1"/>
    <col min="10013" max="10013" width="9.7109375" style="1" customWidth="1"/>
    <col min="10014" max="10014" width="11.140625" style="1" customWidth="1"/>
    <col min="10015" max="10015" width="12.42578125" style="1" customWidth="1"/>
    <col min="10016" max="10021" width="9.7109375" style="1" customWidth="1"/>
    <col min="10022" max="10022" width="6.140625" style="1" customWidth="1"/>
    <col min="10023" max="10252" width="9.140625" style="1"/>
    <col min="10253" max="10253" width="6.85546875" style="1" customWidth="1"/>
    <col min="10254" max="10254" width="27.42578125" style="1" customWidth="1"/>
    <col min="10255" max="10255" width="12.85546875" style="1" customWidth="1"/>
    <col min="10256" max="10256" width="0" style="1" hidden="1" customWidth="1"/>
    <col min="10257" max="10257" width="40.42578125" style="1" customWidth="1"/>
    <col min="10258" max="10258" width="9.140625" style="1" customWidth="1"/>
    <col min="10259" max="10260" width="11" style="1" customWidth="1"/>
    <col min="10261" max="10261" width="12.28515625" style="1" customWidth="1"/>
    <col min="10262" max="10264" width="12.85546875" style="1" customWidth="1"/>
    <col min="10265" max="10265" width="10.7109375" style="1" customWidth="1"/>
    <col min="10266" max="10266" width="12.7109375" style="1" customWidth="1"/>
    <col min="10267" max="10267" width="10.85546875" style="1" customWidth="1"/>
    <col min="10268" max="10268" width="11.28515625" style="1" customWidth="1"/>
    <col min="10269" max="10269" width="9.7109375" style="1" customWidth="1"/>
    <col min="10270" max="10270" width="11.140625" style="1" customWidth="1"/>
    <col min="10271" max="10271" width="12.42578125" style="1" customWidth="1"/>
    <col min="10272" max="10277" width="9.7109375" style="1" customWidth="1"/>
    <col min="10278" max="10278" width="6.140625" style="1" customWidth="1"/>
    <col min="10279" max="10508" width="9.140625" style="1"/>
    <col min="10509" max="10509" width="6.85546875" style="1" customWidth="1"/>
    <col min="10510" max="10510" width="27.42578125" style="1" customWidth="1"/>
    <col min="10511" max="10511" width="12.85546875" style="1" customWidth="1"/>
    <col min="10512" max="10512" width="0" style="1" hidden="1" customWidth="1"/>
    <col min="10513" max="10513" width="40.42578125" style="1" customWidth="1"/>
    <col min="10514" max="10514" width="9.140625" style="1" customWidth="1"/>
    <col min="10515" max="10516" width="11" style="1" customWidth="1"/>
    <col min="10517" max="10517" width="12.28515625" style="1" customWidth="1"/>
    <col min="10518" max="10520" width="12.85546875" style="1" customWidth="1"/>
    <col min="10521" max="10521" width="10.7109375" style="1" customWidth="1"/>
    <col min="10522" max="10522" width="12.7109375" style="1" customWidth="1"/>
    <col min="10523" max="10523" width="10.85546875" style="1" customWidth="1"/>
    <col min="10524" max="10524" width="11.28515625" style="1" customWidth="1"/>
    <col min="10525" max="10525" width="9.7109375" style="1" customWidth="1"/>
    <col min="10526" max="10526" width="11.140625" style="1" customWidth="1"/>
    <col min="10527" max="10527" width="12.42578125" style="1" customWidth="1"/>
    <col min="10528" max="10533" width="9.7109375" style="1" customWidth="1"/>
    <col min="10534" max="10534" width="6.140625" style="1" customWidth="1"/>
    <col min="10535" max="10764" width="9.140625" style="1"/>
    <col min="10765" max="10765" width="6.85546875" style="1" customWidth="1"/>
    <col min="10766" max="10766" width="27.42578125" style="1" customWidth="1"/>
    <col min="10767" max="10767" width="12.85546875" style="1" customWidth="1"/>
    <col min="10768" max="10768" width="0" style="1" hidden="1" customWidth="1"/>
    <col min="10769" max="10769" width="40.42578125" style="1" customWidth="1"/>
    <col min="10770" max="10770" width="9.140625" style="1" customWidth="1"/>
    <col min="10771" max="10772" width="11" style="1" customWidth="1"/>
    <col min="10773" max="10773" width="12.28515625" style="1" customWidth="1"/>
    <col min="10774" max="10776" width="12.85546875" style="1" customWidth="1"/>
    <col min="10777" max="10777" width="10.7109375" style="1" customWidth="1"/>
    <col min="10778" max="10778" width="12.7109375" style="1" customWidth="1"/>
    <col min="10779" max="10779" width="10.85546875" style="1" customWidth="1"/>
    <col min="10780" max="10780" width="11.28515625" style="1" customWidth="1"/>
    <col min="10781" max="10781" width="9.7109375" style="1" customWidth="1"/>
    <col min="10782" max="10782" width="11.140625" style="1" customWidth="1"/>
    <col min="10783" max="10783" width="12.42578125" style="1" customWidth="1"/>
    <col min="10784" max="10789" width="9.7109375" style="1" customWidth="1"/>
    <col min="10790" max="10790" width="6.140625" style="1" customWidth="1"/>
    <col min="10791" max="11020" width="9.140625" style="1"/>
    <col min="11021" max="11021" width="6.85546875" style="1" customWidth="1"/>
    <col min="11022" max="11022" width="27.42578125" style="1" customWidth="1"/>
    <col min="11023" max="11023" width="12.85546875" style="1" customWidth="1"/>
    <col min="11024" max="11024" width="0" style="1" hidden="1" customWidth="1"/>
    <col min="11025" max="11025" width="40.42578125" style="1" customWidth="1"/>
    <col min="11026" max="11026" width="9.140625" style="1" customWidth="1"/>
    <col min="11027" max="11028" width="11" style="1" customWidth="1"/>
    <col min="11029" max="11029" width="12.28515625" style="1" customWidth="1"/>
    <col min="11030" max="11032" width="12.85546875" style="1" customWidth="1"/>
    <col min="11033" max="11033" width="10.7109375" style="1" customWidth="1"/>
    <col min="11034" max="11034" width="12.7109375" style="1" customWidth="1"/>
    <col min="11035" max="11035" width="10.85546875" style="1" customWidth="1"/>
    <col min="11036" max="11036" width="11.28515625" style="1" customWidth="1"/>
    <col min="11037" max="11037" width="9.7109375" style="1" customWidth="1"/>
    <col min="11038" max="11038" width="11.140625" style="1" customWidth="1"/>
    <col min="11039" max="11039" width="12.42578125" style="1" customWidth="1"/>
    <col min="11040" max="11045" width="9.7109375" style="1" customWidth="1"/>
    <col min="11046" max="11046" width="6.140625" style="1" customWidth="1"/>
    <col min="11047" max="11276" width="9.140625" style="1"/>
    <col min="11277" max="11277" width="6.85546875" style="1" customWidth="1"/>
    <col min="11278" max="11278" width="27.42578125" style="1" customWidth="1"/>
    <col min="11279" max="11279" width="12.85546875" style="1" customWidth="1"/>
    <col min="11280" max="11280" width="0" style="1" hidden="1" customWidth="1"/>
    <col min="11281" max="11281" width="40.42578125" style="1" customWidth="1"/>
    <col min="11282" max="11282" width="9.140625" style="1" customWidth="1"/>
    <col min="11283" max="11284" width="11" style="1" customWidth="1"/>
    <col min="11285" max="11285" width="12.28515625" style="1" customWidth="1"/>
    <col min="11286" max="11288" width="12.85546875" style="1" customWidth="1"/>
    <col min="11289" max="11289" width="10.7109375" style="1" customWidth="1"/>
    <col min="11290" max="11290" width="12.7109375" style="1" customWidth="1"/>
    <col min="11291" max="11291" width="10.85546875" style="1" customWidth="1"/>
    <col min="11292" max="11292" width="11.28515625" style="1" customWidth="1"/>
    <col min="11293" max="11293" width="9.7109375" style="1" customWidth="1"/>
    <col min="11294" max="11294" width="11.140625" style="1" customWidth="1"/>
    <col min="11295" max="11295" width="12.42578125" style="1" customWidth="1"/>
    <col min="11296" max="11301" width="9.7109375" style="1" customWidth="1"/>
    <col min="11302" max="11302" width="6.140625" style="1" customWidth="1"/>
    <col min="11303" max="11532" width="9.140625" style="1"/>
    <col min="11533" max="11533" width="6.85546875" style="1" customWidth="1"/>
    <col min="11534" max="11534" width="27.42578125" style="1" customWidth="1"/>
    <col min="11535" max="11535" width="12.85546875" style="1" customWidth="1"/>
    <col min="11536" max="11536" width="0" style="1" hidden="1" customWidth="1"/>
    <col min="11537" max="11537" width="40.42578125" style="1" customWidth="1"/>
    <col min="11538" max="11538" width="9.140625" style="1" customWidth="1"/>
    <col min="11539" max="11540" width="11" style="1" customWidth="1"/>
    <col min="11541" max="11541" width="12.28515625" style="1" customWidth="1"/>
    <col min="11542" max="11544" width="12.85546875" style="1" customWidth="1"/>
    <col min="11545" max="11545" width="10.7109375" style="1" customWidth="1"/>
    <col min="11546" max="11546" width="12.7109375" style="1" customWidth="1"/>
    <col min="11547" max="11547" width="10.85546875" style="1" customWidth="1"/>
    <col min="11548" max="11548" width="11.28515625" style="1" customWidth="1"/>
    <col min="11549" max="11549" width="9.7109375" style="1" customWidth="1"/>
    <col min="11550" max="11550" width="11.140625" style="1" customWidth="1"/>
    <col min="11551" max="11551" width="12.42578125" style="1" customWidth="1"/>
    <col min="11552" max="11557" width="9.7109375" style="1" customWidth="1"/>
    <col min="11558" max="11558" width="6.140625" style="1" customWidth="1"/>
    <col min="11559" max="11788" width="9.140625" style="1"/>
    <col min="11789" max="11789" width="6.85546875" style="1" customWidth="1"/>
    <col min="11790" max="11790" width="27.42578125" style="1" customWidth="1"/>
    <col min="11791" max="11791" width="12.85546875" style="1" customWidth="1"/>
    <col min="11792" max="11792" width="0" style="1" hidden="1" customWidth="1"/>
    <col min="11793" max="11793" width="40.42578125" style="1" customWidth="1"/>
    <col min="11794" max="11794" width="9.140625" style="1" customWidth="1"/>
    <col min="11795" max="11796" width="11" style="1" customWidth="1"/>
    <col min="11797" max="11797" width="12.28515625" style="1" customWidth="1"/>
    <col min="11798" max="11800" width="12.85546875" style="1" customWidth="1"/>
    <col min="11801" max="11801" width="10.7109375" style="1" customWidth="1"/>
    <col min="11802" max="11802" width="12.7109375" style="1" customWidth="1"/>
    <col min="11803" max="11803" width="10.85546875" style="1" customWidth="1"/>
    <col min="11804" max="11804" width="11.28515625" style="1" customWidth="1"/>
    <col min="11805" max="11805" width="9.7109375" style="1" customWidth="1"/>
    <col min="11806" max="11806" width="11.140625" style="1" customWidth="1"/>
    <col min="11807" max="11807" width="12.42578125" style="1" customWidth="1"/>
    <col min="11808" max="11813" width="9.7109375" style="1" customWidth="1"/>
    <col min="11814" max="11814" width="6.140625" style="1" customWidth="1"/>
    <col min="11815" max="12044" width="9.140625" style="1"/>
    <col min="12045" max="12045" width="6.85546875" style="1" customWidth="1"/>
    <col min="12046" max="12046" width="27.42578125" style="1" customWidth="1"/>
    <col min="12047" max="12047" width="12.85546875" style="1" customWidth="1"/>
    <col min="12048" max="12048" width="0" style="1" hidden="1" customWidth="1"/>
    <col min="12049" max="12049" width="40.42578125" style="1" customWidth="1"/>
    <col min="12050" max="12050" width="9.140625" style="1" customWidth="1"/>
    <col min="12051" max="12052" width="11" style="1" customWidth="1"/>
    <col min="12053" max="12053" width="12.28515625" style="1" customWidth="1"/>
    <col min="12054" max="12056" width="12.85546875" style="1" customWidth="1"/>
    <col min="12057" max="12057" width="10.7109375" style="1" customWidth="1"/>
    <col min="12058" max="12058" width="12.7109375" style="1" customWidth="1"/>
    <col min="12059" max="12059" width="10.85546875" style="1" customWidth="1"/>
    <col min="12060" max="12060" width="11.28515625" style="1" customWidth="1"/>
    <col min="12061" max="12061" width="9.7109375" style="1" customWidth="1"/>
    <col min="12062" max="12062" width="11.140625" style="1" customWidth="1"/>
    <col min="12063" max="12063" width="12.42578125" style="1" customWidth="1"/>
    <col min="12064" max="12069" width="9.7109375" style="1" customWidth="1"/>
    <col min="12070" max="12070" width="6.140625" style="1" customWidth="1"/>
    <col min="12071" max="12300" width="9.140625" style="1"/>
    <col min="12301" max="12301" width="6.85546875" style="1" customWidth="1"/>
    <col min="12302" max="12302" width="27.42578125" style="1" customWidth="1"/>
    <col min="12303" max="12303" width="12.85546875" style="1" customWidth="1"/>
    <col min="12304" max="12304" width="0" style="1" hidden="1" customWidth="1"/>
    <col min="12305" max="12305" width="40.42578125" style="1" customWidth="1"/>
    <col min="12306" max="12306" width="9.140625" style="1" customWidth="1"/>
    <col min="12307" max="12308" width="11" style="1" customWidth="1"/>
    <col min="12309" max="12309" width="12.28515625" style="1" customWidth="1"/>
    <col min="12310" max="12312" width="12.85546875" style="1" customWidth="1"/>
    <col min="12313" max="12313" width="10.7109375" style="1" customWidth="1"/>
    <col min="12314" max="12314" width="12.7109375" style="1" customWidth="1"/>
    <col min="12315" max="12315" width="10.85546875" style="1" customWidth="1"/>
    <col min="12316" max="12316" width="11.28515625" style="1" customWidth="1"/>
    <col min="12317" max="12317" width="9.7109375" style="1" customWidth="1"/>
    <col min="12318" max="12318" width="11.140625" style="1" customWidth="1"/>
    <col min="12319" max="12319" width="12.42578125" style="1" customWidth="1"/>
    <col min="12320" max="12325" width="9.7109375" style="1" customWidth="1"/>
    <col min="12326" max="12326" width="6.140625" style="1" customWidth="1"/>
    <col min="12327" max="12556" width="9.140625" style="1"/>
    <col min="12557" max="12557" width="6.85546875" style="1" customWidth="1"/>
    <col min="12558" max="12558" width="27.42578125" style="1" customWidth="1"/>
    <col min="12559" max="12559" width="12.85546875" style="1" customWidth="1"/>
    <col min="12560" max="12560" width="0" style="1" hidden="1" customWidth="1"/>
    <col min="12561" max="12561" width="40.42578125" style="1" customWidth="1"/>
    <col min="12562" max="12562" width="9.140625" style="1" customWidth="1"/>
    <col min="12563" max="12564" width="11" style="1" customWidth="1"/>
    <col min="12565" max="12565" width="12.28515625" style="1" customWidth="1"/>
    <col min="12566" max="12568" width="12.85546875" style="1" customWidth="1"/>
    <col min="12569" max="12569" width="10.7109375" style="1" customWidth="1"/>
    <col min="12570" max="12570" width="12.7109375" style="1" customWidth="1"/>
    <col min="12571" max="12571" width="10.85546875" style="1" customWidth="1"/>
    <col min="12572" max="12572" width="11.28515625" style="1" customWidth="1"/>
    <col min="12573" max="12573" width="9.7109375" style="1" customWidth="1"/>
    <col min="12574" max="12574" width="11.140625" style="1" customWidth="1"/>
    <col min="12575" max="12575" width="12.42578125" style="1" customWidth="1"/>
    <col min="12576" max="12581" width="9.7109375" style="1" customWidth="1"/>
    <col min="12582" max="12582" width="6.140625" style="1" customWidth="1"/>
    <col min="12583" max="12812" width="9.140625" style="1"/>
    <col min="12813" max="12813" width="6.85546875" style="1" customWidth="1"/>
    <col min="12814" max="12814" width="27.42578125" style="1" customWidth="1"/>
    <col min="12815" max="12815" width="12.85546875" style="1" customWidth="1"/>
    <col min="12816" max="12816" width="0" style="1" hidden="1" customWidth="1"/>
    <col min="12817" max="12817" width="40.42578125" style="1" customWidth="1"/>
    <col min="12818" max="12818" width="9.140625" style="1" customWidth="1"/>
    <col min="12819" max="12820" width="11" style="1" customWidth="1"/>
    <col min="12821" max="12821" width="12.28515625" style="1" customWidth="1"/>
    <col min="12822" max="12824" width="12.85546875" style="1" customWidth="1"/>
    <col min="12825" max="12825" width="10.7109375" style="1" customWidth="1"/>
    <col min="12826" max="12826" width="12.7109375" style="1" customWidth="1"/>
    <col min="12827" max="12827" width="10.85546875" style="1" customWidth="1"/>
    <col min="12828" max="12828" width="11.28515625" style="1" customWidth="1"/>
    <col min="12829" max="12829" width="9.7109375" style="1" customWidth="1"/>
    <col min="12830" max="12830" width="11.140625" style="1" customWidth="1"/>
    <col min="12831" max="12831" width="12.42578125" style="1" customWidth="1"/>
    <col min="12832" max="12837" width="9.7109375" style="1" customWidth="1"/>
    <col min="12838" max="12838" width="6.140625" style="1" customWidth="1"/>
    <col min="12839" max="13068" width="9.140625" style="1"/>
    <col min="13069" max="13069" width="6.85546875" style="1" customWidth="1"/>
    <col min="13070" max="13070" width="27.42578125" style="1" customWidth="1"/>
    <col min="13071" max="13071" width="12.85546875" style="1" customWidth="1"/>
    <col min="13072" max="13072" width="0" style="1" hidden="1" customWidth="1"/>
    <col min="13073" max="13073" width="40.42578125" style="1" customWidth="1"/>
    <col min="13074" max="13074" width="9.140625" style="1" customWidth="1"/>
    <col min="13075" max="13076" width="11" style="1" customWidth="1"/>
    <col min="13077" max="13077" width="12.28515625" style="1" customWidth="1"/>
    <col min="13078" max="13080" width="12.85546875" style="1" customWidth="1"/>
    <col min="13081" max="13081" width="10.7109375" style="1" customWidth="1"/>
    <col min="13082" max="13082" width="12.7109375" style="1" customWidth="1"/>
    <col min="13083" max="13083" width="10.85546875" style="1" customWidth="1"/>
    <col min="13084" max="13084" width="11.28515625" style="1" customWidth="1"/>
    <col min="13085" max="13085" width="9.7109375" style="1" customWidth="1"/>
    <col min="13086" max="13086" width="11.140625" style="1" customWidth="1"/>
    <col min="13087" max="13087" width="12.42578125" style="1" customWidth="1"/>
    <col min="13088" max="13093" width="9.7109375" style="1" customWidth="1"/>
    <col min="13094" max="13094" width="6.140625" style="1" customWidth="1"/>
    <col min="13095" max="13324" width="9.140625" style="1"/>
    <col min="13325" max="13325" width="6.85546875" style="1" customWidth="1"/>
    <col min="13326" max="13326" width="27.42578125" style="1" customWidth="1"/>
    <col min="13327" max="13327" width="12.85546875" style="1" customWidth="1"/>
    <col min="13328" max="13328" width="0" style="1" hidden="1" customWidth="1"/>
    <col min="13329" max="13329" width="40.42578125" style="1" customWidth="1"/>
    <col min="13330" max="13330" width="9.140625" style="1" customWidth="1"/>
    <col min="13331" max="13332" width="11" style="1" customWidth="1"/>
    <col min="13333" max="13333" width="12.28515625" style="1" customWidth="1"/>
    <col min="13334" max="13336" width="12.85546875" style="1" customWidth="1"/>
    <col min="13337" max="13337" width="10.7109375" style="1" customWidth="1"/>
    <col min="13338" max="13338" width="12.7109375" style="1" customWidth="1"/>
    <col min="13339" max="13339" width="10.85546875" style="1" customWidth="1"/>
    <col min="13340" max="13340" width="11.28515625" style="1" customWidth="1"/>
    <col min="13341" max="13341" width="9.7109375" style="1" customWidth="1"/>
    <col min="13342" max="13342" width="11.140625" style="1" customWidth="1"/>
    <col min="13343" max="13343" width="12.42578125" style="1" customWidth="1"/>
    <col min="13344" max="13349" width="9.7109375" style="1" customWidth="1"/>
    <col min="13350" max="13350" width="6.140625" style="1" customWidth="1"/>
    <col min="13351" max="13580" width="9.140625" style="1"/>
    <col min="13581" max="13581" width="6.85546875" style="1" customWidth="1"/>
    <col min="13582" max="13582" width="27.42578125" style="1" customWidth="1"/>
    <col min="13583" max="13583" width="12.85546875" style="1" customWidth="1"/>
    <col min="13584" max="13584" width="0" style="1" hidden="1" customWidth="1"/>
    <col min="13585" max="13585" width="40.42578125" style="1" customWidth="1"/>
    <col min="13586" max="13586" width="9.140625" style="1" customWidth="1"/>
    <col min="13587" max="13588" width="11" style="1" customWidth="1"/>
    <col min="13589" max="13589" width="12.28515625" style="1" customWidth="1"/>
    <col min="13590" max="13592" width="12.85546875" style="1" customWidth="1"/>
    <col min="13593" max="13593" width="10.7109375" style="1" customWidth="1"/>
    <col min="13594" max="13594" width="12.7109375" style="1" customWidth="1"/>
    <col min="13595" max="13595" width="10.85546875" style="1" customWidth="1"/>
    <col min="13596" max="13596" width="11.28515625" style="1" customWidth="1"/>
    <col min="13597" max="13597" width="9.7109375" style="1" customWidth="1"/>
    <col min="13598" max="13598" width="11.140625" style="1" customWidth="1"/>
    <col min="13599" max="13599" width="12.42578125" style="1" customWidth="1"/>
    <col min="13600" max="13605" width="9.7109375" style="1" customWidth="1"/>
    <col min="13606" max="13606" width="6.140625" style="1" customWidth="1"/>
    <col min="13607" max="13836" width="9.140625" style="1"/>
    <col min="13837" max="13837" width="6.85546875" style="1" customWidth="1"/>
    <col min="13838" max="13838" width="27.42578125" style="1" customWidth="1"/>
    <col min="13839" max="13839" width="12.85546875" style="1" customWidth="1"/>
    <col min="13840" max="13840" width="0" style="1" hidden="1" customWidth="1"/>
    <col min="13841" max="13841" width="40.42578125" style="1" customWidth="1"/>
    <col min="13842" max="13842" width="9.140625" style="1" customWidth="1"/>
    <col min="13843" max="13844" width="11" style="1" customWidth="1"/>
    <col min="13845" max="13845" width="12.28515625" style="1" customWidth="1"/>
    <col min="13846" max="13848" width="12.85546875" style="1" customWidth="1"/>
    <col min="13849" max="13849" width="10.7109375" style="1" customWidth="1"/>
    <col min="13850" max="13850" width="12.7109375" style="1" customWidth="1"/>
    <col min="13851" max="13851" width="10.85546875" style="1" customWidth="1"/>
    <col min="13852" max="13852" width="11.28515625" style="1" customWidth="1"/>
    <col min="13853" max="13853" width="9.7109375" style="1" customWidth="1"/>
    <col min="13854" max="13854" width="11.140625" style="1" customWidth="1"/>
    <col min="13855" max="13855" width="12.42578125" style="1" customWidth="1"/>
    <col min="13856" max="13861" width="9.7109375" style="1" customWidth="1"/>
    <col min="13862" max="13862" width="6.140625" style="1" customWidth="1"/>
    <col min="13863" max="14092" width="9.140625" style="1"/>
    <col min="14093" max="14093" width="6.85546875" style="1" customWidth="1"/>
    <col min="14094" max="14094" width="27.42578125" style="1" customWidth="1"/>
    <col min="14095" max="14095" width="12.85546875" style="1" customWidth="1"/>
    <col min="14096" max="14096" width="0" style="1" hidden="1" customWidth="1"/>
    <col min="14097" max="14097" width="40.42578125" style="1" customWidth="1"/>
    <col min="14098" max="14098" width="9.140625" style="1" customWidth="1"/>
    <col min="14099" max="14100" width="11" style="1" customWidth="1"/>
    <col min="14101" max="14101" width="12.28515625" style="1" customWidth="1"/>
    <col min="14102" max="14104" width="12.85546875" style="1" customWidth="1"/>
    <col min="14105" max="14105" width="10.7109375" style="1" customWidth="1"/>
    <col min="14106" max="14106" width="12.7109375" style="1" customWidth="1"/>
    <col min="14107" max="14107" width="10.85546875" style="1" customWidth="1"/>
    <col min="14108" max="14108" width="11.28515625" style="1" customWidth="1"/>
    <col min="14109" max="14109" width="9.7109375" style="1" customWidth="1"/>
    <col min="14110" max="14110" width="11.140625" style="1" customWidth="1"/>
    <col min="14111" max="14111" width="12.42578125" style="1" customWidth="1"/>
    <col min="14112" max="14117" width="9.7109375" style="1" customWidth="1"/>
    <col min="14118" max="14118" width="6.140625" style="1" customWidth="1"/>
    <col min="14119" max="14348" width="9.140625" style="1"/>
    <col min="14349" max="14349" width="6.85546875" style="1" customWidth="1"/>
    <col min="14350" max="14350" width="27.42578125" style="1" customWidth="1"/>
    <col min="14351" max="14351" width="12.85546875" style="1" customWidth="1"/>
    <col min="14352" max="14352" width="0" style="1" hidden="1" customWidth="1"/>
    <col min="14353" max="14353" width="40.42578125" style="1" customWidth="1"/>
    <col min="14354" max="14354" width="9.140625" style="1" customWidth="1"/>
    <col min="14355" max="14356" width="11" style="1" customWidth="1"/>
    <col min="14357" max="14357" width="12.28515625" style="1" customWidth="1"/>
    <col min="14358" max="14360" width="12.85546875" style="1" customWidth="1"/>
    <col min="14361" max="14361" width="10.7109375" style="1" customWidth="1"/>
    <col min="14362" max="14362" width="12.7109375" style="1" customWidth="1"/>
    <col min="14363" max="14363" width="10.85546875" style="1" customWidth="1"/>
    <col min="14364" max="14364" width="11.28515625" style="1" customWidth="1"/>
    <col min="14365" max="14365" width="9.7109375" style="1" customWidth="1"/>
    <col min="14366" max="14366" width="11.140625" style="1" customWidth="1"/>
    <col min="14367" max="14367" width="12.42578125" style="1" customWidth="1"/>
    <col min="14368" max="14373" width="9.7109375" style="1" customWidth="1"/>
    <col min="14374" max="14374" width="6.140625" style="1" customWidth="1"/>
    <col min="14375" max="14604" width="9.140625" style="1"/>
    <col min="14605" max="14605" width="6.85546875" style="1" customWidth="1"/>
    <col min="14606" max="14606" width="27.42578125" style="1" customWidth="1"/>
    <col min="14607" max="14607" width="12.85546875" style="1" customWidth="1"/>
    <col min="14608" max="14608" width="0" style="1" hidden="1" customWidth="1"/>
    <col min="14609" max="14609" width="40.42578125" style="1" customWidth="1"/>
    <col min="14610" max="14610" width="9.140625" style="1" customWidth="1"/>
    <col min="14611" max="14612" width="11" style="1" customWidth="1"/>
    <col min="14613" max="14613" width="12.28515625" style="1" customWidth="1"/>
    <col min="14614" max="14616" width="12.85546875" style="1" customWidth="1"/>
    <col min="14617" max="14617" width="10.7109375" style="1" customWidth="1"/>
    <col min="14618" max="14618" width="12.7109375" style="1" customWidth="1"/>
    <col min="14619" max="14619" width="10.85546875" style="1" customWidth="1"/>
    <col min="14620" max="14620" width="11.28515625" style="1" customWidth="1"/>
    <col min="14621" max="14621" width="9.7109375" style="1" customWidth="1"/>
    <col min="14622" max="14622" width="11.140625" style="1" customWidth="1"/>
    <col min="14623" max="14623" width="12.42578125" style="1" customWidth="1"/>
    <col min="14624" max="14629" width="9.7109375" style="1" customWidth="1"/>
    <col min="14630" max="14630" width="6.140625" style="1" customWidth="1"/>
    <col min="14631" max="14860" width="9.140625" style="1"/>
    <col min="14861" max="14861" width="6.85546875" style="1" customWidth="1"/>
    <col min="14862" max="14862" width="27.42578125" style="1" customWidth="1"/>
    <col min="14863" max="14863" width="12.85546875" style="1" customWidth="1"/>
    <col min="14864" max="14864" width="0" style="1" hidden="1" customWidth="1"/>
    <col min="14865" max="14865" width="40.42578125" style="1" customWidth="1"/>
    <col min="14866" max="14866" width="9.140625" style="1" customWidth="1"/>
    <col min="14867" max="14868" width="11" style="1" customWidth="1"/>
    <col min="14869" max="14869" width="12.28515625" style="1" customWidth="1"/>
    <col min="14870" max="14872" width="12.85546875" style="1" customWidth="1"/>
    <col min="14873" max="14873" width="10.7109375" style="1" customWidth="1"/>
    <col min="14874" max="14874" width="12.7109375" style="1" customWidth="1"/>
    <col min="14875" max="14875" width="10.85546875" style="1" customWidth="1"/>
    <col min="14876" max="14876" width="11.28515625" style="1" customWidth="1"/>
    <col min="14877" max="14877" width="9.7109375" style="1" customWidth="1"/>
    <col min="14878" max="14878" width="11.140625" style="1" customWidth="1"/>
    <col min="14879" max="14879" width="12.42578125" style="1" customWidth="1"/>
    <col min="14880" max="14885" width="9.7109375" style="1" customWidth="1"/>
    <col min="14886" max="14886" width="6.140625" style="1" customWidth="1"/>
    <col min="14887" max="15116" width="9.140625" style="1"/>
    <col min="15117" max="15117" width="6.85546875" style="1" customWidth="1"/>
    <col min="15118" max="15118" width="27.42578125" style="1" customWidth="1"/>
    <col min="15119" max="15119" width="12.85546875" style="1" customWidth="1"/>
    <col min="15120" max="15120" width="0" style="1" hidden="1" customWidth="1"/>
    <col min="15121" max="15121" width="40.42578125" style="1" customWidth="1"/>
    <col min="15122" max="15122" width="9.140625" style="1" customWidth="1"/>
    <col min="15123" max="15124" width="11" style="1" customWidth="1"/>
    <col min="15125" max="15125" width="12.28515625" style="1" customWidth="1"/>
    <col min="15126" max="15128" width="12.85546875" style="1" customWidth="1"/>
    <col min="15129" max="15129" width="10.7109375" style="1" customWidth="1"/>
    <col min="15130" max="15130" width="12.7109375" style="1" customWidth="1"/>
    <col min="15131" max="15131" width="10.85546875" style="1" customWidth="1"/>
    <col min="15132" max="15132" width="11.28515625" style="1" customWidth="1"/>
    <col min="15133" max="15133" width="9.7109375" style="1" customWidth="1"/>
    <col min="15134" max="15134" width="11.140625" style="1" customWidth="1"/>
    <col min="15135" max="15135" width="12.42578125" style="1" customWidth="1"/>
    <col min="15136" max="15141" width="9.7109375" style="1" customWidth="1"/>
    <col min="15142" max="15142" width="6.140625" style="1" customWidth="1"/>
    <col min="15143" max="15372" width="9.140625" style="1"/>
    <col min="15373" max="15373" width="6.85546875" style="1" customWidth="1"/>
    <col min="15374" max="15374" width="27.42578125" style="1" customWidth="1"/>
    <col min="15375" max="15375" width="12.85546875" style="1" customWidth="1"/>
    <col min="15376" max="15376" width="0" style="1" hidden="1" customWidth="1"/>
    <col min="15377" max="15377" width="40.42578125" style="1" customWidth="1"/>
    <col min="15378" max="15378" width="9.140625" style="1" customWidth="1"/>
    <col min="15379" max="15380" width="11" style="1" customWidth="1"/>
    <col min="15381" max="15381" width="12.28515625" style="1" customWidth="1"/>
    <col min="15382" max="15384" width="12.85546875" style="1" customWidth="1"/>
    <col min="15385" max="15385" width="10.7109375" style="1" customWidth="1"/>
    <col min="15386" max="15386" width="12.7109375" style="1" customWidth="1"/>
    <col min="15387" max="15387" width="10.85546875" style="1" customWidth="1"/>
    <col min="15388" max="15388" width="11.28515625" style="1" customWidth="1"/>
    <col min="15389" max="15389" width="9.7109375" style="1" customWidth="1"/>
    <col min="15390" max="15390" width="11.140625" style="1" customWidth="1"/>
    <col min="15391" max="15391" width="12.42578125" style="1" customWidth="1"/>
    <col min="15392" max="15397" width="9.7109375" style="1" customWidth="1"/>
    <col min="15398" max="15398" width="6.140625" style="1" customWidth="1"/>
    <col min="15399" max="15628" width="9.140625" style="1"/>
    <col min="15629" max="15629" width="6.85546875" style="1" customWidth="1"/>
    <col min="15630" max="15630" width="27.42578125" style="1" customWidth="1"/>
    <col min="15631" max="15631" width="12.85546875" style="1" customWidth="1"/>
    <col min="15632" max="15632" width="0" style="1" hidden="1" customWidth="1"/>
    <col min="15633" max="15633" width="40.42578125" style="1" customWidth="1"/>
    <col min="15634" max="15634" width="9.140625" style="1" customWidth="1"/>
    <col min="15635" max="15636" width="11" style="1" customWidth="1"/>
    <col min="15637" max="15637" width="12.28515625" style="1" customWidth="1"/>
    <col min="15638" max="15640" width="12.85546875" style="1" customWidth="1"/>
    <col min="15641" max="15641" width="10.7109375" style="1" customWidth="1"/>
    <col min="15642" max="15642" width="12.7109375" style="1" customWidth="1"/>
    <col min="15643" max="15643" width="10.85546875" style="1" customWidth="1"/>
    <col min="15644" max="15644" width="11.28515625" style="1" customWidth="1"/>
    <col min="15645" max="15645" width="9.7109375" style="1" customWidth="1"/>
    <col min="15646" max="15646" width="11.140625" style="1" customWidth="1"/>
    <col min="15647" max="15647" width="12.42578125" style="1" customWidth="1"/>
    <col min="15648" max="15653" width="9.7109375" style="1" customWidth="1"/>
    <col min="15654" max="15654" width="6.140625" style="1" customWidth="1"/>
    <col min="15655" max="15884" width="9.140625" style="1"/>
    <col min="15885" max="15885" width="6.85546875" style="1" customWidth="1"/>
    <col min="15886" max="15886" width="27.42578125" style="1" customWidth="1"/>
    <col min="15887" max="15887" width="12.85546875" style="1" customWidth="1"/>
    <col min="15888" max="15888" width="0" style="1" hidden="1" customWidth="1"/>
    <col min="15889" max="15889" width="40.42578125" style="1" customWidth="1"/>
    <col min="15890" max="15890" width="9.140625" style="1" customWidth="1"/>
    <col min="15891" max="15892" width="11" style="1" customWidth="1"/>
    <col min="15893" max="15893" width="12.28515625" style="1" customWidth="1"/>
    <col min="15894" max="15896" width="12.85546875" style="1" customWidth="1"/>
    <col min="15897" max="15897" width="10.7109375" style="1" customWidth="1"/>
    <col min="15898" max="15898" width="12.7109375" style="1" customWidth="1"/>
    <col min="15899" max="15899" width="10.85546875" style="1" customWidth="1"/>
    <col min="15900" max="15900" width="11.28515625" style="1" customWidth="1"/>
    <col min="15901" max="15901" width="9.7109375" style="1" customWidth="1"/>
    <col min="15902" max="15902" width="11.140625" style="1" customWidth="1"/>
    <col min="15903" max="15903" width="12.42578125" style="1" customWidth="1"/>
    <col min="15904" max="15909" width="9.7109375" style="1" customWidth="1"/>
    <col min="15910" max="15910" width="6.140625" style="1" customWidth="1"/>
    <col min="15911" max="16140" width="9.140625" style="1"/>
    <col min="16141" max="16141" width="6.85546875" style="1" customWidth="1"/>
    <col min="16142" max="16142" width="27.42578125" style="1" customWidth="1"/>
    <col min="16143" max="16143" width="12.85546875" style="1" customWidth="1"/>
    <col min="16144" max="16144" width="0" style="1" hidden="1" customWidth="1"/>
    <col min="16145" max="16145" width="40.42578125" style="1" customWidth="1"/>
    <col min="16146" max="16146" width="9.140625" style="1" customWidth="1"/>
    <col min="16147" max="16148" width="11" style="1" customWidth="1"/>
    <col min="16149" max="16149" width="12.28515625" style="1" customWidth="1"/>
    <col min="16150" max="16152" width="12.85546875" style="1" customWidth="1"/>
    <col min="16153" max="16153" width="10.7109375" style="1" customWidth="1"/>
    <col min="16154" max="16154" width="12.7109375" style="1" customWidth="1"/>
    <col min="16155" max="16155" width="10.85546875" style="1" customWidth="1"/>
    <col min="16156" max="16156" width="11.28515625" style="1" customWidth="1"/>
    <col min="16157" max="16157" width="9.7109375" style="1" customWidth="1"/>
    <col min="16158" max="16158" width="11.140625" style="1" customWidth="1"/>
    <col min="16159" max="16159" width="12.42578125" style="1" customWidth="1"/>
    <col min="16160" max="16165" width="9.7109375" style="1" customWidth="1"/>
    <col min="16166" max="16166" width="6.140625" style="1" customWidth="1"/>
    <col min="16167" max="16384" width="9.140625" style="1"/>
  </cols>
  <sheetData>
    <row r="1" spans="1:44" ht="22.15" customHeight="1">
      <c r="B1" s="457" t="s">
        <v>1095</v>
      </c>
      <c r="C1" s="406"/>
      <c r="D1" s="406"/>
      <c r="E1" s="406"/>
      <c r="F1" s="406"/>
      <c r="G1" s="406"/>
      <c r="H1" s="406"/>
      <c r="I1" s="406"/>
      <c r="J1" s="406"/>
      <c r="K1" s="476"/>
      <c r="L1" s="406"/>
      <c r="M1" s="406"/>
      <c r="N1" s="476"/>
      <c r="O1" s="406"/>
      <c r="P1" s="406"/>
      <c r="Q1" s="536"/>
      <c r="R1" s="406"/>
      <c r="S1" s="406"/>
      <c r="T1" s="406"/>
      <c r="U1" s="406"/>
      <c r="V1" s="406"/>
      <c r="W1" s="406"/>
      <c r="X1" s="406"/>
      <c r="Y1" s="406"/>
      <c r="Z1" s="406"/>
      <c r="AA1" s="406"/>
      <c r="AB1" s="476"/>
      <c r="AC1" s="476"/>
      <c r="AD1" s="406"/>
      <c r="AE1" s="476"/>
      <c r="AF1" s="476"/>
      <c r="AG1" s="406"/>
      <c r="AH1" s="476"/>
      <c r="AI1" s="476"/>
      <c r="AJ1" s="406"/>
      <c r="AK1" s="653" t="s">
        <v>1096</v>
      </c>
      <c r="AL1" s="653"/>
    </row>
    <row r="2" spans="1:44" ht="33.75" customHeight="1">
      <c r="A2" s="654" t="s">
        <v>1093</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row>
    <row r="3" spans="1:44">
      <c r="A3" s="642" t="str">
        <f>+'[1]Phụ lục 1'!$A$3:$L$3</f>
        <v>(Kèm theo Quyết định số         /QĐ-UBND ngày             /10/2022 của UBND huyện Na Rì)</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2"/>
    </row>
    <row r="4" spans="1:44">
      <c r="A4" s="2"/>
      <c r="B4" s="234"/>
      <c r="C4" s="2"/>
      <c r="D4" s="2"/>
      <c r="E4" s="2"/>
      <c r="F4" s="2"/>
      <c r="G4" s="235"/>
      <c r="H4" s="282"/>
      <c r="I4" s="643" t="s">
        <v>0</v>
      </c>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3"/>
      <c r="AI4" s="643"/>
      <c r="AJ4" s="643"/>
      <c r="AK4" s="643"/>
      <c r="AL4" s="643"/>
    </row>
    <row r="5" spans="1:44" ht="36" customHeight="1">
      <c r="A5" s="644" t="s">
        <v>1</v>
      </c>
      <c r="B5" s="645" t="s">
        <v>2</v>
      </c>
      <c r="C5" s="644" t="s">
        <v>3</v>
      </c>
      <c r="D5" s="548"/>
      <c r="E5" s="644" t="s">
        <v>4</v>
      </c>
      <c r="F5" s="644" t="s">
        <v>5</v>
      </c>
      <c r="G5" s="655" t="s">
        <v>6</v>
      </c>
      <c r="H5" s="656"/>
      <c r="I5" s="656"/>
      <c r="J5" s="657"/>
      <c r="K5" s="644" t="s">
        <v>1102</v>
      </c>
      <c r="L5" s="644"/>
      <c r="M5" s="644"/>
      <c r="N5" s="644" t="s">
        <v>1103</v>
      </c>
      <c r="O5" s="644"/>
      <c r="P5" s="644"/>
      <c r="Q5" s="644" t="s">
        <v>1099</v>
      </c>
      <c r="R5" s="644"/>
      <c r="S5" s="644"/>
      <c r="T5" s="647" t="s">
        <v>8</v>
      </c>
      <c r="U5" s="655" t="s">
        <v>1105</v>
      </c>
      <c r="V5" s="656"/>
      <c r="W5" s="657"/>
      <c r="X5" s="655" t="s">
        <v>7</v>
      </c>
      <c r="Y5" s="656"/>
      <c r="Z5" s="656"/>
      <c r="AA5" s="644" t="s">
        <v>915</v>
      </c>
      <c r="AB5" s="644"/>
      <c r="AC5" s="644"/>
      <c r="AD5" s="655" t="s">
        <v>1106</v>
      </c>
      <c r="AE5" s="656"/>
      <c r="AF5" s="656"/>
      <c r="AG5" s="655" t="s">
        <v>1107</v>
      </c>
      <c r="AH5" s="656"/>
      <c r="AI5" s="656"/>
      <c r="AJ5" s="549"/>
      <c r="AK5" s="461"/>
      <c r="AL5" s="644" t="s">
        <v>8</v>
      </c>
    </row>
    <row r="6" spans="1:44" ht="42.75">
      <c r="A6" s="644"/>
      <c r="B6" s="645"/>
      <c r="C6" s="644"/>
      <c r="D6" s="548"/>
      <c r="E6" s="644"/>
      <c r="F6" s="644"/>
      <c r="G6" s="550" t="s">
        <v>9</v>
      </c>
      <c r="H6" s="283" t="s">
        <v>10</v>
      </c>
      <c r="I6" s="550" t="s">
        <v>11</v>
      </c>
      <c r="J6" s="550" t="s">
        <v>12</v>
      </c>
      <c r="K6" s="526" t="s">
        <v>9</v>
      </c>
      <c r="L6" s="281" t="s">
        <v>10</v>
      </c>
      <c r="M6" s="548" t="s">
        <v>11</v>
      </c>
      <c r="N6" s="526" t="s">
        <v>9</v>
      </c>
      <c r="O6" s="281" t="s">
        <v>10</v>
      </c>
      <c r="P6" s="548" t="s">
        <v>11</v>
      </c>
      <c r="Q6" s="537" t="s">
        <v>9</v>
      </c>
      <c r="R6" s="281" t="s">
        <v>10</v>
      </c>
      <c r="S6" s="548" t="s">
        <v>11</v>
      </c>
      <c r="T6" s="632"/>
      <c r="U6" s="550" t="s">
        <v>9</v>
      </c>
      <c r="V6" s="550" t="s">
        <v>10</v>
      </c>
      <c r="W6" s="550" t="s">
        <v>11</v>
      </c>
      <c r="X6" s="550" t="s">
        <v>9</v>
      </c>
      <c r="Y6" s="550" t="s">
        <v>10</v>
      </c>
      <c r="Z6" s="550" t="s">
        <v>11</v>
      </c>
      <c r="AA6" s="550" t="s">
        <v>9</v>
      </c>
      <c r="AB6" s="477" t="s">
        <v>10</v>
      </c>
      <c r="AC6" s="477" t="s">
        <v>11</v>
      </c>
      <c r="AD6" s="550" t="s">
        <v>9</v>
      </c>
      <c r="AE6" s="477" t="s">
        <v>10</v>
      </c>
      <c r="AF6" s="477" t="s">
        <v>11</v>
      </c>
      <c r="AG6" s="550" t="s">
        <v>9</v>
      </c>
      <c r="AH6" s="477" t="s">
        <v>10</v>
      </c>
      <c r="AI6" s="477" t="s">
        <v>11</v>
      </c>
      <c r="AJ6" s="550"/>
      <c r="AK6" s="550" t="s">
        <v>12</v>
      </c>
      <c r="AL6" s="644"/>
    </row>
    <row r="7" spans="1:44">
      <c r="A7" s="4" t="s">
        <v>48</v>
      </c>
      <c r="B7" s="4" t="s">
        <v>49</v>
      </c>
      <c r="C7" s="4" t="s">
        <v>1083</v>
      </c>
      <c r="D7" s="4"/>
      <c r="E7" s="4"/>
      <c r="F7" s="4">
        <v>1</v>
      </c>
      <c r="G7" s="425">
        <f>+F7+1</f>
        <v>2</v>
      </c>
      <c r="H7" s="425">
        <f t="shared" ref="H7:AL7" si="0">+G7+1</f>
        <v>3</v>
      </c>
      <c r="I7" s="425">
        <f t="shared" si="0"/>
        <v>4</v>
      </c>
      <c r="J7" s="425">
        <f t="shared" si="0"/>
        <v>5</v>
      </c>
      <c r="K7" s="478"/>
      <c r="L7" s="425"/>
      <c r="M7" s="425"/>
      <c r="N7" s="478"/>
      <c r="O7" s="425"/>
      <c r="P7" s="425"/>
      <c r="Q7" s="538"/>
      <c r="R7" s="425"/>
      <c r="S7" s="425"/>
      <c r="T7" s="425"/>
      <c r="U7" s="425"/>
      <c r="V7" s="425"/>
      <c r="W7" s="425"/>
      <c r="X7" s="425">
        <f>+J7+1</f>
        <v>6</v>
      </c>
      <c r="Y7" s="425">
        <f t="shared" si="0"/>
        <v>7</v>
      </c>
      <c r="Z7" s="425">
        <f t="shared" si="0"/>
        <v>8</v>
      </c>
      <c r="AA7" s="425"/>
      <c r="AB7" s="478"/>
      <c r="AC7" s="478"/>
      <c r="AD7" s="425"/>
      <c r="AE7" s="478"/>
      <c r="AF7" s="478"/>
      <c r="AG7" s="425"/>
      <c r="AH7" s="478"/>
      <c r="AI7" s="478"/>
      <c r="AJ7" s="425"/>
      <c r="AK7" s="425">
        <f>+Z7+1</f>
        <v>9</v>
      </c>
      <c r="AL7" s="425">
        <f t="shared" si="0"/>
        <v>10</v>
      </c>
    </row>
    <row r="8" spans="1:44" ht="33" hidden="1" customHeight="1">
      <c r="A8" s="4"/>
      <c r="B8" s="548" t="s">
        <v>13</v>
      </c>
      <c r="C8" s="4"/>
      <c r="D8" s="4"/>
      <c r="E8" s="4"/>
      <c r="F8" s="4"/>
      <c r="G8" s="323">
        <f>+G9+G12+G284</f>
        <v>172053.96</v>
      </c>
      <c r="H8" s="323">
        <f>+H9+H12+H284</f>
        <v>163551.94999999995</v>
      </c>
      <c r="I8" s="323">
        <f>+I9+I12+I284</f>
        <v>8502.0099999999984</v>
      </c>
      <c r="J8" s="323">
        <f>+J9+J12+J284</f>
        <v>0</v>
      </c>
      <c r="K8" s="479"/>
      <c r="L8" s="323"/>
      <c r="M8" s="323"/>
      <c r="N8" s="479"/>
      <c r="O8" s="323"/>
      <c r="P8" s="323"/>
      <c r="Q8" s="539"/>
      <c r="R8" s="323"/>
      <c r="S8" s="323"/>
      <c r="T8" s="323"/>
      <c r="U8" s="323"/>
      <c r="V8" s="323"/>
      <c r="W8" s="323"/>
      <c r="X8" s="323">
        <f>+X9+X12+X284</f>
        <v>29412</v>
      </c>
      <c r="Y8" s="323">
        <f>+Y9+Y12+Y284</f>
        <v>27995.999999999996</v>
      </c>
      <c r="Z8" s="323">
        <f>+Z9+Z12+Z284</f>
        <v>1416</v>
      </c>
      <c r="AA8" s="323"/>
      <c r="AB8" s="479"/>
      <c r="AC8" s="479"/>
      <c r="AD8" s="323"/>
      <c r="AE8" s="479"/>
      <c r="AF8" s="479"/>
      <c r="AG8" s="323"/>
      <c r="AH8" s="479"/>
      <c r="AI8" s="479"/>
      <c r="AJ8" s="323"/>
      <c r="AK8" s="323">
        <f>+AK9+AK12+AK284</f>
        <v>190</v>
      </c>
      <c r="AL8" s="4"/>
    </row>
    <row r="9" spans="1:44" ht="63" customHeight="1">
      <c r="A9" s="548" t="s">
        <v>14</v>
      </c>
      <c r="B9" s="236" t="s">
        <v>15</v>
      </c>
      <c r="C9" s="236"/>
      <c r="D9" s="236"/>
      <c r="E9" s="236"/>
      <c r="F9" s="236"/>
      <c r="G9" s="323">
        <f>+G10</f>
        <v>9796</v>
      </c>
      <c r="H9" s="323">
        <f t="shared" ref="H9:AK9" si="1">+H10</f>
        <v>9020</v>
      </c>
      <c r="I9" s="323">
        <f t="shared" si="1"/>
        <v>776</v>
      </c>
      <c r="J9" s="323">
        <f t="shared" si="1"/>
        <v>0</v>
      </c>
      <c r="K9" s="323">
        <f t="shared" si="1"/>
        <v>0</v>
      </c>
      <c r="L9" s="323">
        <f t="shared" si="1"/>
        <v>0</v>
      </c>
      <c r="M9" s="323">
        <f t="shared" si="1"/>
        <v>0</v>
      </c>
      <c r="N9" s="323">
        <f t="shared" si="1"/>
        <v>104</v>
      </c>
      <c r="O9" s="323">
        <f t="shared" si="1"/>
        <v>0</v>
      </c>
      <c r="P9" s="323">
        <f t="shared" si="1"/>
        <v>104</v>
      </c>
      <c r="Q9" s="323">
        <f t="shared" si="1"/>
        <v>9900</v>
      </c>
      <c r="R9" s="323">
        <f t="shared" si="1"/>
        <v>9020</v>
      </c>
      <c r="S9" s="323">
        <f t="shared" si="1"/>
        <v>880</v>
      </c>
      <c r="T9" s="323"/>
      <c r="U9" s="323"/>
      <c r="V9" s="323"/>
      <c r="W9" s="323"/>
      <c r="X9" s="323">
        <f t="shared" si="1"/>
        <v>530</v>
      </c>
      <c r="Y9" s="323">
        <f t="shared" si="1"/>
        <v>490</v>
      </c>
      <c r="Z9" s="323">
        <f t="shared" si="1"/>
        <v>40</v>
      </c>
      <c r="AA9" s="323"/>
      <c r="AB9" s="479"/>
      <c r="AC9" s="479"/>
      <c r="AD9" s="323"/>
      <c r="AE9" s="479"/>
      <c r="AF9" s="479"/>
      <c r="AG9" s="323"/>
      <c r="AH9" s="479"/>
      <c r="AI9" s="479"/>
      <c r="AJ9" s="323"/>
      <c r="AK9" s="323">
        <f t="shared" si="1"/>
        <v>0</v>
      </c>
      <c r="AL9" s="236"/>
    </row>
    <row r="10" spans="1:44" s="7" customFormat="1" ht="48" customHeight="1">
      <c r="A10" s="6" t="s">
        <v>16</v>
      </c>
      <c r="B10" s="658" t="s">
        <v>17</v>
      </c>
      <c r="C10" s="658"/>
      <c r="D10" s="551"/>
      <c r="E10" s="239"/>
      <c r="F10" s="128" t="s">
        <v>19</v>
      </c>
      <c r="G10" s="444">
        <f t="shared" ref="G10:G11" si="2">H10+I10</f>
        <v>9796</v>
      </c>
      <c r="H10" s="444">
        <f>SUM(H11:H11)</f>
        <v>9020</v>
      </c>
      <c r="I10" s="444">
        <f>SUM(I11:I11)</f>
        <v>776</v>
      </c>
      <c r="J10" s="444">
        <f t="shared" ref="J10:S10" si="3">SUM(J11:J11)</f>
        <v>0</v>
      </c>
      <c r="K10" s="444">
        <f t="shared" si="3"/>
        <v>0</v>
      </c>
      <c r="L10" s="444">
        <f t="shared" si="3"/>
        <v>0</v>
      </c>
      <c r="M10" s="444">
        <f t="shared" si="3"/>
        <v>0</v>
      </c>
      <c r="N10" s="444">
        <f t="shared" si="3"/>
        <v>104</v>
      </c>
      <c r="O10" s="444">
        <f t="shared" si="3"/>
        <v>0</v>
      </c>
      <c r="P10" s="444">
        <f t="shared" si="3"/>
        <v>104</v>
      </c>
      <c r="Q10" s="444">
        <f t="shared" si="3"/>
        <v>9900</v>
      </c>
      <c r="R10" s="444">
        <f t="shared" si="3"/>
        <v>9020</v>
      </c>
      <c r="S10" s="444">
        <f t="shared" si="3"/>
        <v>880</v>
      </c>
      <c r="T10" s="444"/>
      <c r="U10" s="444"/>
      <c r="V10" s="444"/>
      <c r="W10" s="444"/>
      <c r="X10" s="444">
        <f>SUM(X11:X11)</f>
        <v>530</v>
      </c>
      <c r="Y10" s="444">
        <f>SUM(Y11:Y11)</f>
        <v>490</v>
      </c>
      <c r="Z10" s="444">
        <f>SUM(Z11:Z11)</f>
        <v>40</v>
      </c>
      <c r="AA10" s="444"/>
      <c r="AB10" s="480"/>
      <c r="AC10" s="480"/>
      <c r="AD10" s="444"/>
      <c r="AE10" s="480"/>
      <c r="AF10" s="480"/>
      <c r="AG10" s="444"/>
      <c r="AH10" s="480"/>
      <c r="AI10" s="480"/>
      <c r="AJ10" s="444"/>
      <c r="AK10" s="444">
        <f>SUM(AK11:AK11)</f>
        <v>0</v>
      </c>
      <c r="AL10" s="239"/>
      <c r="AM10" s="366"/>
      <c r="AN10" s="366"/>
      <c r="AO10" s="366"/>
    </row>
    <row r="11" spans="1:44" ht="45" customHeight="1">
      <c r="A11" s="8">
        <v>1</v>
      </c>
      <c r="B11" s="241" t="s">
        <v>23</v>
      </c>
      <c r="C11" s="241"/>
      <c r="D11" s="241"/>
      <c r="E11" s="241"/>
      <c r="F11" s="9" t="s">
        <v>19</v>
      </c>
      <c r="G11" s="445">
        <f t="shared" si="2"/>
        <v>9796</v>
      </c>
      <c r="H11" s="445">
        <v>9020</v>
      </c>
      <c r="I11" s="445">
        <v>776</v>
      </c>
      <c r="J11" s="445"/>
      <c r="K11" s="481"/>
      <c r="L11" s="445"/>
      <c r="M11" s="445"/>
      <c r="N11" s="481">
        <f>+O11+P11</f>
        <v>104</v>
      </c>
      <c r="O11" s="445"/>
      <c r="P11" s="445">
        <v>104</v>
      </c>
      <c r="Q11" s="501">
        <f>+R11+S11</f>
        <v>9900</v>
      </c>
      <c r="R11" s="445">
        <f>+H11+O11</f>
        <v>9020</v>
      </c>
      <c r="S11" s="445">
        <f>+I11+P11</f>
        <v>880</v>
      </c>
      <c r="T11" s="445"/>
      <c r="U11" s="445"/>
      <c r="V11" s="445"/>
      <c r="W11" s="445"/>
      <c r="X11" s="445">
        <f t="shared" ref="X11" si="4">Y11+Z11</f>
        <v>530</v>
      </c>
      <c r="Y11" s="445">
        <v>490</v>
      </c>
      <c r="Z11" s="445">
        <v>40</v>
      </c>
      <c r="AA11" s="445"/>
      <c r="AB11" s="481"/>
      <c r="AC11" s="481"/>
      <c r="AD11" s="445"/>
      <c r="AE11" s="481"/>
      <c r="AF11" s="481"/>
      <c r="AG11" s="445"/>
      <c r="AH11" s="481"/>
      <c r="AI11" s="481"/>
      <c r="AJ11" s="445"/>
      <c r="AK11" s="445"/>
      <c r="AL11" s="241"/>
    </row>
    <row r="12" spans="1:44" ht="81" customHeight="1">
      <c r="A12" s="548" t="s">
        <v>34</v>
      </c>
      <c r="B12" s="239" t="s">
        <v>45</v>
      </c>
      <c r="C12" s="12"/>
      <c r="D12" s="12"/>
      <c r="E12" s="12"/>
      <c r="F12" s="12"/>
      <c r="G12" s="323">
        <f>+G13</f>
        <v>154893.96</v>
      </c>
      <c r="H12" s="323">
        <f t="shared" ref="H12:AK12" si="5">+H13</f>
        <v>147517.94999999995</v>
      </c>
      <c r="I12" s="323">
        <f t="shared" si="5"/>
        <v>7376.0099999999984</v>
      </c>
      <c r="J12" s="323">
        <f t="shared" si="5"/>
        <v>0</v>
      </c>
      <c r="K12" s="479"/>
      <c r="L12" s="323"/>
      <c r="M12" s="323"/>
      <c r="N12" s="479"/>
      <c r="O12" s="323"/>
      <c r="P12" s="323"/>
      <c r="Q12" s="539"/>
      <c r="R12" s="323"/>
      <c r="S12" s="323"/>
      <c r="T12" s="323"/>
      <c r="U12" s="323"/>
      <c r="V12" s="323"/>
      <c r="W12" s="323"/>
      <c r="X12" s="323">
        <f t="shared" si="5"/>
        <v>27882</v>
      </c>
      <c r="Y12" s="323">
        <f t="shared" si="5"/>
        <v>26553.999999999996</v>
      </c>
      <c r="Z12" s="323">
        <f t="shared" si="5"/>
        <v>1328</v>
      </c>
      <c r="AA12" s="323"/>
      <c r="AB12" s="479"/>
      <c r="AC12" s="479"/>
      <c r="AD12" s="323"/>
      <c r="AE12" s="479"/>
      <c r="AF12" s="479"/>
      <c r="AG12" s="323"/>
      <c r="AH12" s="479"/>
      <c r="AI12" s="479"/>
      <c r="AJ12" s="323"/>
      <c r="AK12" s="323">
        <f t="shared" si="5"/>
        <v>190</v>
      </c>
      <c r="AL12" s="12"/>
      <c r="AM12" s="659"/>
      <c r="AN12" s="659"/>
      <c r="AO12" s="659"/>
      <c r="AP12" s="659"/>
      <c r="AQ12" s="659"/>
      <c r="AR12" s="659"/>
    </row>
    <row r="13" spans="1:44" s="7" customFormat="1" ht="94.5" customHeight="1">
      <c r="A13" s="6" t="s">
        <v>985</v>
      </c>
      <c r="B13" s="551" t="s">
        <v>1007</v>
      </c>
      <c r="C13" s="128"/>
      <c r="D13" s="128"/>
      <c r="E13" s="128"/>
      <c r="F13" s="128"/>
      <c r="G13" s="475">
        <f>G14+G30+G45+G55+G68+G83+G104+G119+G151+G135+G162+G180+G197+G217+G222+G237+G251</f>
        <v>154893.96</v>
      </c>
      <c r="H13" s="475">
        <f>H14+H30+H45+H55+H68+H83+H104+H119+H151+H135+H162+H180+H197+H217+H222+H237+H251</f>
        <v>147517.94999999995</v>
      </c>
      <c r="I13" s="475">
        <f>I14+I30+I45+I55+I68+I83+I104+I119+I151+I135+I162+I180+I197+I217+I222+I237+I251</f>
        <v>7376.0099999999984</v>
      </c>
      <c r="J13" s="475">
        <f t="shared" ref="J13:AI13" si="6">J14+J30+J45+J55+J68+J83+J104+J119+J151+J135+J162+J180+J197+J217+J222+J237+J251</f>
        <v>0</v>
      </c>
      <c r="K13" s="475">
        <f t="shared" si="6"/>
        <v>15402.399299999997</v>
      </c>
      <c r="L13" s="475">
        <f t="shared" si="6"/>
        <v>14732.520000000004</v>
      </c>
      <c r="M13" s="475">
        <f t="shared" si="6"/>
        <v>669.87929999999994</v>
      </c>
      <c r="N13" s="475">
        <f t="shared" si="6"/>
        <v>15402.399299999997</v>
      </c>
      <c r="O13" s="475">
        <f t="shared" si="6"/>
        <v>14745.32</v>
      </c>
      <c r="P13" s="475">
        <f t="shared" si="6"/>
        <v>657.07929999999988</v>
      </c>
      <c r="Q13" s="475">
        <f t="shared" si="6"/>
        <v>154893.96</v>
      </c>
      <c r="R13" s="475">
        <f t="shared" si="6"/>
        <v>147517.94999999995</v>
      </c>
      <c r="S13" s="475">
        <f t="shared" si="6"/>
        <v>7376.0099999999984</v>
      </c>
      <c r="T13" s="475">
        <f t="shared" si="6"/>
        <v>0</v>
      </c>
      <c r="U13" s="474">
        <f t="shared" si="6"/>
        <v>103423.94999999998</v>
      </c>
      <c r="V13" s="474">
        <f t="shared" si="6"/>
        <v>98084.000000000015</v>
      </c>
      <c r="W13" s="474">
        <f t="shared" si="6"/>
        <v>5339.95</v>
      </c>
      <c r="X13" s="323">
        <f t="shared" si="6"/>
        <v>27882</v>
      </c>
      <c r="Y13" s="323">
        <f t="shared" si="6"/>
        <v>26553.999999999996</v>
      </c>
      <c r="Z13" s="323">
        <f t="shared" si="6"/>
        <v>1328</v>
      </c>
      <c r="AA13" s="323">
        <f t="shared" si="6"/>
        <v>37517</v>
      </c>
      <c r="AB13" s="479">
        <f t="shared" si="6"/>
        <v>35595</v>
      </c>
      <c r="AC13" s="479">
        <f t="shared" si="6"/>
        <v>1922</v>
      </c>
      <c r="AD13" s="323">
        <f t="shared" si="6"/>
        <v>36402.049999999996</v>
      </c>
      <c r="AE13" s="479">
        <f t="shared" si="6"/>
        <v>34401.299999999996</v>
      </c>
      <c r="AF13" s="479">
        <f t="shared" si="6"/>
        <v>2000.75</v>
      </c>
      <c r="AG13" s="323">
        <f t="shared" si="6"/>
        <v>51468.255899999996</v>
      </c>
      <c r="AH13" s="479">
        <f t="shared" si="6"/>
        <v>49433.95</v>
      </c>
      <c r="AI13" s="479">
        <f t="shared" si="6"/>
        <v>2034.3059000000001</v>
      </c>
      <c r="AJ13" s="323"/>
      <c r="AK13" s="323">
        <f>AK14+AK30+AK45+AK55+AK68+AK83+AK104+AK119+AK151+AK135+AK162+AK180+AK197+AK217+AK222+AK237+AK251</f>
        <v>190</v>
      </c>
      <c r="AL13" s="12"/>
      <c r="AM13" s="367"/>
      <c r="AN13" s="367"/>
      <c r="AO13" s="367"/>
      <c r="AP13" s="13"/>
      <c r="AQ13" s="13"/>
      <c r="AR13" s="13"/>
    </row>
    <row r="14" spans="1:44" s="14" customFormat="1" ht="23.25" customHeight="1">
      <c r="A14" s="4" t="s">
        <v>987</v>
      </c>
      <c r="B14" s="507" t="s">
        <v>61</v>
      </c>
      <c r="C14" s="16"/>
      <c r="D14" s="16"/>
      <c r="E14" s="16"/>
      <c r="F14" s="16"/>
      <c r="G14" s="472">
        <f t="shared" ref="G14:T14" si="7">SUM(G15:G29)</f>
        <v>4512.96</v>
      </c>
      <c r="H14" s="472">
        <f t="shared" si="7"/>
        <v>4298</v>
      </c>
      <c r="I14" s="472">
        <f t="shared" si="7"/>
        <v>214.96000000000004</v>
      </c>
      <c r="J14" s="472">
        <f t="shared" si="7"/>
        <v>0</v>
      </c>
      <c r="K14" s="527">
        <f t="shared" si="7"/>
        <v>678.44690000000003</v>
      </c>
      <c r="L14" s="528">
        <f t="shared" si="7"/>
        <v>657.27689999999996</v>
      </c>
      <c r="M14" s="528">
        <f t="shared" si="7"/>
        <v>21.169999999999995</v>
      </c>
      <c r="N14" s="527">
        <f t="shared" si="7"/>
        <v>678.44689999999991</v>
      </c>
      <c r="O14" s="528">
        <f t="shared" si="7"/>
        <v>657.27689999999996</v>
      </c>
      <c r="P14" s="528">
        <f t="shared" si="7"/>
        <v>21.17</v>
      </c>
      <c r="Q14" s="540">
        <f t="shared" si="7"/>
        <v>4512.96</v>
      </c>
      <c r="R14" s="472">
        <f t="shared" si="7"/>
        <v>4298.0000000000009</v>
      </c>
      <c r="S14" s="472">
        <f t="shared" si="7"/>
        <v>214.96000000000006</v>
      </c>
      <c r="T14" s="472">
        <f t="shared" si="7"/>
        <v>0</v>
      </c>
      <c r="U14" s="446">
        <f>SUM(U15:U27)</f>
        <v>2970.8230999999996</v>
      </c>
      <c r="V14" s="446">
        <f>SUM(V15:V27)</f>
        <v>2815.2231000000002</v>
      </c>
      <c r="W14" s="446">
        <f>SUM(W15:W27)</f>
        <v>155.60000000000002</v>
      </c>
      <c r="X14" s="446">
        <f>SUM(X15:X29)</f>
        <v>812.29</v>
      </c>
      <c r="Y14" s="446">
        <f t="shared" ref="Y14:AF14" si="8">SUM(Y15:Y27)</f>
        <v>773.6</v>
      </c>
      <c r="Z14" s="446">
        <f t="shared" si="8"/>
        <v>38.69</v>
      </c>
      <c r="AA14" s="446">
        <f t="shared" si="8"/>
        <v>1050.9331000000002</v>
      </c>
      <c r="AB14" s="482">
        <f t="shared" si="8"/>
        <v>994.92309999999998</v>
      </c>
      <c r="AC14" s="482">
        <f t="shared" si="8"/>
        <v>56.010000000000005</v>
      </c>
      <c r="AD14" s="446">
        <f t="shared" si="8"/>
        <v>1107.5999999999999</v>
      </c>
      <c r="AE14" s="482">
        <f t="shared" si="8"/>
        <v>1046.6999999999998</v>
      </c>
      <c r="AF14" s="482">
        <f t="shared" si="8"/>
        <v>60.900000000000006</v>
      </c>
      <c r="AG14" s="472">
        <f>SUM(AG15:AG29)</f>
        <v>1542.1369</v>
      </c>
      <c r="AH14" s="492">
        <f>SUM(AH15:AH29)</f>
        <v>1482.7769000000001</v>
      </c>
      <c r="AI14" s="492">
        <f>SUM(AI15:AI29)</f>
        <v>59.36</v>
      </c>
      <c r="AJ14" s="446"/>
      <c r="AK14" s="446">
        <f>SUM(AK15:AK27)</f>
        <v>0</v>
      </c>
      <c r="AL14" s="322"/>
      <c r="AM14" s="368">
        <f>+'NĂM 2022'!K21+'NĂM 2023'!N22+'NĂM 2024'!J22+'NĂM 2025'!J22</f>
        <v>4512.96</v>
      </c>
      <c r="AN14" s="368">
        <f>+'NĂM 2022'!L21+'NĂM 2023'!O22+'NĂM 2024'!K22+'NĂM 2025'!K22</f>
        <v>4298</v>
      </c>
      <c r="AO14" s="368">
        <f>+'NĂM 2022'!M21+'NĂM 2023'!P22+'NĂM 2024'!L22+'NĂM 2025'!L22</f>
        <v>214.96</v>
      </c>
    </row>
    <row r="15" spans="1:44" s="146" customFormat="1" ht="60" hidden="1">
      <c r="A15" s="141">
        <v>1</v>
      </c>
      <c r="B15" s="325" t="s">
        <v>62</v>
      </c>
      <c r="C15" s="141" t="s">
        <v>63</v>
      </c>
      <c r="D15" s="141"/>
      <c r="E15" s="141" t="s">
        <v>64</v>
      </c>
      <c r="F15" s="141" t="s">
        <v>52</v>
      </c>
      <c r="G15" s="447">
        <f>H15+I15</f>
        <v>270.79999999999995</v>
      </c>
      <c r="H15" s="447">
        <v>257.89999999999998</v>
      </c>
      <c r="I15" s="473">
        <v>12.9</v>
      </c>
      <c r="J15" s="448"/>
      <c r="K15" s="529">
        <f>+Q15-G15</f>
        <v>0</v>
      </c>
      <c r="L15" s="530"/>
      <c r="M15" s="530"/>
      <c r="N15" s="529">
        <f>+Q15-G15</f>
        <v>0</v>
      </c>
      <c r="O15" s="530"/>
      <c r="P15" s="530"/>
      <c r="Q15" s="466">
        <f>+R15+S15</f>
        <v>270.79999999999995</v>
      </c>
      <c r="R15" s="448">
        <v>257.89999999999998</v>
      </c>
      <c r="S15" s="448">
        <v>12.9</v>
      </c>
      <c r="T15" s="448"/>
      <c r="U15" s="466">
        <f>+X15</f>
        <v>270.79999999999995</v>
      </c>
      <c r="V15" s="448">
        <f t="shared" ref="V15:W17" si="9">+Y15</f>
        <v>257.89999999999998</v>
      </c>
      <c r="W15" s="448">
        <f t="shared" si="9"/>
        <v>12.9</v>
      </c>
      <c r="X15" s="445">
        <f t="shared" ref="X15:X87" si="10">Y15+Z15</f>
        <v>270.79999999999995</v>
      </c>
      <c r="Y15" s="447">
        <v>257.89999999999998</v>
      </c>
      <c r="Z15" s="447">
        <v>12.9</v>
      </c>
      <c r="AA15" s="447"/>
      <c r="AB15" s="481"/>
      <c r="AC15" s="481"/>
      <c r="AD15" s="447"/>
      <c r="AE15" s="481"/>
      <c r="AF15" s="481"/>
      <c r="AG15" s="447"/>
      <c r="AH15" s="481"/>
      <c r="AI15" s="481"/>
      <c r="AJ15" s="447"/>
      <c r="AK15" s="448"/>
      <c r="AL15" s="145"/>
      <c r="AM15" s="471">
        <f>+G14-U14</f>
        <v>1542.1369000000004</v>
      </c>
      <c r="AN15" s="471">
        <f>+H14-V14</f>
        <v>1482.7768999999998</v>
      </c>
      <c r="AO15" s="471">
        <f>+I14-W14</f>
        <v>59.360000000000014</v>
      </c>
    </row>
    <row r="16" spans="1:44" s="146" customFormat="1" ht="45" hidden="1">
      <c r="A16" s="141">
        <f>+A15+1</f>
        <v>2</v>
      </c>
      <c r="B16" s="325" t="s">
        <v>65</v>
      </c>
      <c r="C16" s="141" t="s">
        <v>66</v>
      </c>
      <c r="D16" s="141"/>
      <c r="E16" s="141" t="s">
        <v>67</v>
      </c>
      <c r="F16" s="141" t="s">
        <v>52</v>
      </c>
      <c r="G16" s="447">
        <f>H16+I16</f>
        <v>270.74</v>
      </c>
      <c r="H16" s="447">
        <v>257.85000000000002</v>
      </c>
      <c r="I16" s="473">
        <v>12.89</v>
      </c>
      <c r="J16" s="448"/>
      <c r="K16" s="529">
        <f t="shared" ref="K16:K17" si="11">+Q16-G16</f>
        <v>0</v>
      </c>
      <c r="L16" s="530"/>
      <c r="M16" s="530"/>
      <c r="N16" s="529">
        <f t="shared" ref="N16:N17" si="12">+Q16-G16</f>
        <v>0</v>
      </c>
      <c r="O16" s="530"/>
      <c r="P16" s="530"/>
      <c r="Q16" s="466">
        <f t="shared" ref="Q16:Q29" si="13">+R16+S16</f>
        <v>270.74</v>
      </c>
      <c r="R16" s="448">
        <v>257.85000000000002</v>
      </c>
      <c r="S16" s="448">
        <v>12.89</v>
      </c>
      <c r="T16" s="448"/>
      <c r="U16" s="466">
        <f t="shared" ref="U16:U17" si="14">+X16</f>
        <v>270.74</v>
      </c>
      <c r="V16" s="448">
        <f t="shared" si="9"/>
        <v>257.85000000000002</v>
      </c>
      <c r="W16" s="448">
        <f t="shared" si="9"/>
        <v>12.89</v>
      </c>
      <c r="X16" s="445">
        <f t="shared" si="10"/>
        <v>270.74</v>
      </c>
      <c r="Y16" s="447">
        <v>257.85000000000002</v>
      </c>
      <c r="Z16" s="447">
        <v>12.89</v>
      </c>
      <c r="AA16" s="447"/>
      <c r="AB16" s="481"/>
      <c r="AC16" s="481"/>
      <c r="AD16" s="447"/>
      <c r="AE16" s="481"/>
      <c r="AF16" s="481"/>
      <c r="AG16" s="447"/>
      <c r="AH16" s="481"/>
      <c r="AI16" s="481"/>
      <c r="AJ16" s="447"/>
      <c r="AK16" s="448"/>
      <c r="AL16" s="145"/>
      <c r="AM16" s="471">
        <f>+AM15-AG14</f>
        <v>0</v>
      </c>
      <c r="AN16" s="471">
        <f t="shared" ref="AN16:AO16" si="15">+AN15-AH14</f>
        <v>0</v>
      </c>
      <c r="AO16" s="471">
        <f t="shared" si="15"/>
        <v>0</v>
      </c>
    </row>
    <row r="17" spans="1:41" s="146" customFormat="1" ht="75" hidden="1">
      <c r="A17" s="141">
        <f t="shared" ref="A17:A29" si="16">+A16+1</f>
        <v>3</v>
      </c>
      <c r="B17" s="325" t="s">
        <v>68</v>
      </c>
      <c r="C17" s="141" t="s">
        <v>69</v>
      </c>
      <c r="D17" s="141"/>
      <c r="E17" s="141" t="s">
        <v>70</v>
      </c>
      <c r="F17" s="141" t="s">
        <v>52</v>
      </c>
      <c r="G17" s="447">
        <f>H17+I17</f>
        <v>270.75</v>
      </c>
      <c r="H17" s="447">
        <v>257.85000000000002</v>
      </c>
      <c r="I17" s="473">
        <v>12.9</v>
      </c>
      <c r="J17" s="448"/>
      <c r="K17" s="529">
        <f t="shared" si="11"/>
        <v>0</v>
      </c>
      <c r="L17" s="530"/>
      <c r="M17" s="530"/>
      <c r="N17" s="529">
        <f t="shared" si="12"/>
        <v>0</v>
      </c>
      <c r="O17" s="530"/>
      <c r="P17" s="530"/>
      <c r="Q17" s="466">
        <f t="shared" si="13"/>
        <v>270.75</v>
      </c>
      <c r="R17" s="448">
        <v>257.85000000000002</v>
      </c>
      <c r="S17" s="448">
        <v>12.9</v>
      </c>
      <c r="T17" s="448"/>
      <c r="U17" s="466">
        <f t="shared" si="14"/>
        <v>270.75</v>
      </c>
      <c r="V17" s="448">
        <f t="shared" si="9"/>
        <v>257.85000000000002</v>
      </c>
      <c r="W17" s="448">
        <f t="shared" si="9"/>
        <v>12.9</v>
      </c>
      <c r="X17" s="445">
        <f t="shared" si="10"/>
        <v>270.75</v>
      </c>
      <c r="Y17" s="447">
        <v>257.85000000000002</v>
      </c>
      <c r="Z17" s="447">
        <v>12.9</v>
      </c>
      <c r="AA17" s="447"/>
      <c r="AB17" s="481"/>
      <c r="AC17" s="481"/>
      <c r="AD17" s="447"/>
      <c r="AE17" s="481"/>
      <c r="AF17" s="481"/>
      <c r="AG17" s="447"/>
      <c r="AH17" s="481"/>
      <c r="AI17" s="481"/>
      <c r="AJ17" s="447"/>
      <c r="AK17" s="448"/>
      <c r="AL17" s="145"/>
      <c r="AM17" s="369"/>
      <c r="AN17" s="369"/>
      <c r="AO17" s="369"/>
    </row>
    <row r="18" spans="1:41" s="146" customFormat="1" ht="60" hidden="1">
      <c r="A18" s="141">
        <f t="shared" si="16"/>
        <v>4</v>
      </c>
      <c r="B18" s="325" t="s">
        <v>71</v>
      </c>
      <c r="C18" s="141" t="s">
        <v>63</v>
      </c>
      <c r="D18" s="141"/>
      <c r="E18" s="141" t="s">
        <v>72</v>
      </c>
      <c r="F18" s="141" t="s">
        <v>53</v>
      </c>
      <c r="G18" s="447">
        <f t="shared" ref="G18:G87" si="17">H18+I18</f>
        <v>525.04999999999995</v>
      </c>
      <c r="H18" s="447">
        <v>500</v>
      </c>
      <c r="I18" s="473">
        <v>25.05</v>
      </c>
      <c r="J18" s="448"/>
      <c r="K18" s="529">
        <f>+L18+M18</f>
        <v>161.84699999999998</v>
      </c>
      <c r="L18" s="530">
        <f>+H18-R18</f>
        <v>155.46699999999998</v>
      </c>
      <c r="M18" s="530">
        <f>+I18-S18</f>
        <v>6.379999999999999</v>
      </c>
      <c r="N18" s="529"/>
      <c r="O18" s="530"/>
      <c r="P18" s="530"/>
      <c r="Q18" s="466">
        <f t="shared" si="13"/>
        <v>363.20300000000003</v>
      </c>
      <c r="R18" s="448">
        <v>344.53300000000002</v>
      </c>
      <c r="S18" s="448">
        <v>18.670000000000002</v>
      </c>
      <c r="T18" s="533"/>
      <c r="U18" s="448">
        <f>+AA18+AD18</f>
        <v>363.20300000000003</v>
      </c>
      <c r="V18" s="448">
        <f t="shared" ref="V18:W27" si="18">+AB18+AE18</f>
        <v>344.53300000000002</v>
      </c>
      <c r="W18" s="448">
        <f t="shared" si="18"/>
        <v>18.670000000000002</v>
      </c>
      <c r="X18" s="445">
        <f t="shared" si="10"/>
        <v>0</v>
      </c>
      <c r="Y18" s="448"/>
      <c r="Z18" s="448"/>
      <c r="AA18" s="448">
        <f>+AB18+AC18</f>
        <v>363.20300000000003</v>
      </c>
      <c r="AB18" s="483">
        <f>345.67-1.137</f>
        <v>344.53300000000002</v>
      </c>
      <c r="AC18" s="483">
        <v>18.670000000000002</v>
      </c>
      <c r="AD18" s="448"/>
      <c r="AE18" s="483"/>
      <c r="AF18" s="483"/>
      <c r="AG18" s="448"/>
      <c r="AH18" s="483"/>
      <c r="AI18" s="483"/>
      <c r="AJ18" s="448"/>
      <c r="AK18" s="448"/>
      <c r="AL18" s="145"/>
      <c r="AM18" s="369"/>
      <c r="AN18" s="369"/>
      <c r="AO18" s="369"/>
    </row>
    <row r="19" spans="1:41" s="146" customFormat="1" ht="45" hidden="1">
      <c r="A19" s="141">
        <f t="shared" si="16"/>
        <v>5</v>
      </c>
      <c r="B19" s="325" t="s">
        <v>65</v>
      </c>
      <c r="C19" s="141" t="s">
        <v>66</v>
      </c>
      <c r="D19" s="141"/>
      <c r="E19" s="141" t="s">
        <v>73</v>
      </c>
      <c r="F19" s="141" t="s">
        <v>53</v>
      </c>
      <c r="G19" s="447">
        <f t="shared" si="17"/>
        <v>472.5</v>
      </c>
      <c r="H19" s="447">
        <v>450</v>
      </c>
      <c r="I19" s="473">
        <v>22.5</v>
      </c>
      <c r="J19" s="448"/>
      <c r="K19" s="529">
        <f t="shared" ref="K19:K22" si="19">+L19+M19</f>
        <v>149.11989999999997</v>
      </c>
      <c r="L19" s="530">
        <f t="shared" ref="L19:M22" si="20">+H19-R19</f>
        <v>145.28989999999999</v>
      </c>
      <c r="M19" s="530">
        <f t="shared" si="20"/>
        <v>3.8299999999999983</v>
      </c>
      <c r="N19" s="529"/>
      <c r="O19" s="530"/>
      <c r="P19" s="530"/>
      <c r="Q19" s="466">
        <f t="shared" si="13"/>
        <v>323.38010000000003</v>
      </c>
      <c r="R19" s="448">
        <v>304.71010000000001</v>
      </c>
      <c r="S19" s="448">
        <v>18.670000000000002</v>
      </c>
      <c r="T19" s="533"/>
      <c r="U19" s="448">
        <f t="shared" ref="U19:U27" si="21">+AA19+AD19</f>
        <v>323.38010000000003</v>
      </c>
      <c r="V19" s="448">
        <f t="shared" si="18"/>
        <v>304.71010000000001</v>
      </c>
      <c r="W19" s="448">
        <f t="shared" si="18"/>
        <v>18.670000000000002</v>
      </c>
      <c r="X19" s="445">
        <f t="shared" si="10"/>
        <v>0</v>
      </c>
      <c r="Y19" s="448"/>
      <c r="Z19" s="448"/>
      <c r="AA19" s="448">
        <f>+AB19+AC19</f>
        <v>323.38010000000003</v>
      </c>
      <c r="AB19" s="483">
        <f>345.68-40.9699</f>
        <v>304.71010000000001</v>
      </c>
      <c r="AC19" s="483">
        <v>18.670000000000002</v>
      </c>
      <c r="AD19" s="448"/>
      <c r="AE19" s="483"/>
      <c r="AF19" s="483"/>
      <c r="AG19" s="448"/>
      <c r="AH19" s="483"/>
      <c r="AI19" s="483"/>
      <c r="AJ19" s="448"/>
      <c r="AK19" s="448"/>
      <c r="AL19" s="145"/>
      <c r="AM19" s="369"/>
      <c r="AN19" s="369"/>
      <c r="AO19" s="369"/>
    </row>
    <row r="20" spans="1:41" s="146" customFormat="1" ht="75" hidden="1">
      <c r="A20" s="141">
        <f t="shared" si="16"/>
        <v>6</v>
      </c>
      <c r="B20" s="325" t="s">
        <v>74</v>
      </c>
      <c r="C20" s="141" t="s">
        <v>69</v>
      </c>
      <c r="D20" s="141"/>
      <c r="E20" s="141" t="s">
        <v>75</v>
      </c>
      <c r="F20" s="141" t="s">
        <v>53</v>
      </c>
      <c r="G20" s="447">
        <f t="shared" si="17"/>
        <v>525</v>
      </c>
      <c r="H20" s="447">
        <v>500</v>
      </c>
      <c r="I20" s="473">
        <v>25</v>
      </c>
      <c r="J20" s="448"/>
      <c r="K20" s="529">
        <f t="shared" si="19"/>
        <v>160.64999999999998</v>
      </c>
      <c r="L20" s="530">
        <f t="shared" si="20"/>
        <v>154.32</v>
      </c>
      <c r="M20" s="530">
        <f t="shared" si="20"/>
        <v>6.3299999999999983</v>
      </c>
      <c r="N20" s="529"/>
      <c r="O20" s="530"/>
      <c r="P20" s="530"/>
      <c r="Q20" s="466">
        <f t="shared" si="13"/>
        <v>364.35</v>
      </c>
      <c r="R20" s="448">
        <v>345.68</v>
      </c>
      <c r="S20" s="448">
        <v>18.670000000000002</v>
      </c>
      <c r="T20" s="533"/>
      <c r="U20" s="448">
        <f t="shared" si="21"/>
        <v>364.35</v>
      </c>
      <c r="V20" s="448">
        <f t="shared" si="18"/>
        <v>345.68</v>
      </c>
      <c r="W20" s="448">
        <f t="shared" si="18"/>
        <v>18.670000000000002</v>
      </c>
      <c r="X20" s="445">
        <f t="shared" si="10"/>
        <v>0</v>
      </c>
      <c r="Y20" s="448"/>
      <c r="Z20" s="448"/>
      <c r="AA20" s="448">
        <f>+AB20+AC20</f>
        <v>364.35</v>
      </c>
      <c r="AB20" s="483">
        <v>345.68</v>
      </c>
      <c r="AC20" s="483">
        <v>18.670000000000002</v>
      </c>
      <c r="AD20" s="448"/>
      <c r="AE20" s="483"/>
      <c r="AF20" s="483"/>
      <c r="AG20" s="448"/>
      <c r="AH20" s="483"/>
      <c r="AI20" s="483"/>
      <c r="AJ20" s="448"/>
      <c r="AK20" s="448"/>
      <c r="AL20" s="145"/>
      <c r="AM20" s="369"/>
      <c r="AN20" s="369"/>
      <c r="AO20" s="369"/>
    </row>
    <row r="21" spans="1:41" s="146" customFormat="1" ht="45" hidden="1">
      <c r="A21" s="141">
        <f t="shared" si="16"/>
        <v>7</v>
      </c>
      <c r="B21" s="325" t="s">
        <v>76</v>
      </c>
      <c r="C21" s="141" t="s">
        <v>63</v>
      </c>
      <c r="D21" s="141"/>
      <c r="E21" s="150" t="s">
        <v>77</v>
      </c>
      <c r="F21" s="141" t="s">
        <v>78</v>
      </c>
      <c r="G21" s="447">
        <f t="shared" si="17"/>
        <v>472.5</v>
      </c>
      <c r="H21" s="447">
        <v>450</v>
      </c>
      <c r="I21" s="473">
        <v>22.5</v>
      </c>
      <c r="J21" s="448"/>
      <c r="K21" s="529">
        <f t="shared" si="19"/>
        <v>103.30000000000003</v>
      </c>
      <c r="L21" s="530">
        <f t="shared" si="20"/>
        <v>101.10000000000002</v>
      </c>
      <c r="M21" s="530">
        <f t="shared" si="20"/>
        <v>2.1999999999999993</v>
      </c>
      <c r="N21" s="529"/>
      <c r="O21" s="530"/>
      <c r="P21" s="530"/>
      <c r="Q21" s="466">
        <f t="shared" si="13"/>
        <v>369.2</v>
      </c>
      <c r="R21" s="448">
        <v>348.9</v>
      </c>
      <c r="S21" s="448">
        <v>20.3</v>
      </c>
      <c r="T21" s="533"/>
      <c r="U21" s="448">
        <f t="shared" si="21"/>
        <v>369.2</v>
      </c>
      <c r="V21" s="448">
        <f t="shared" si="18"/>
        <v>348.9</v>
      </c>
      <c r="W21" s="448">
        <f t="shared" si="18"/>
        <v>20.3</v>
      </c>
      <c r="X21" s="445">
        <f t="shared" si="10"/>
        <v>0</v>
      </c>
      <c r="Y21" s="448"/>
      <c r="Z21" s="448"/>
      <c r="AA21" s="448"/>
      <c r="AB21" s="483"/>
      <c r="AC21" s="483"/>
      <c r="AD21" s="448">
        <f>+AE21+AF21</f>
        <v>369.2</v>
      </c>
      <c r="AE21" s="483">
        <v>348.9</v>
      </c>
      <c r="AF21" s="483">
        <v>20.3</v>
      </c>
      <c r="AG21" s="448"/>
      <c r="AH21" s="483"/>
      <c r="AI21" s="483"/>
      <c r="AJ21" s="448"/>
      <c r="AK21" s="448"/>
      <c r="AL21" s="145"/>
      <c r="AM21" s="369"/>
      <c r="AN21" s="369"/>
      <c r="AO21" s="369"/>
    </row>
    <row r="22" spans="1:41" s="146" customFormat="1" ht="75" hidden="1">
      <c r="A22" s="141">
        <f t="shared" si="16"/>
        <v>8</v>
      </c>
      <c r="B22" s="325" t="s">
        <v>79</v>
      </c>
      <c r="C22" s="141" t="s">
        <v>66</v>
      </c>
      <c r="D22" s="141"/>
      <c r="E22" s="141" t="s">
        <v>80</v>
      </c>
      <c r="F22" s="141" t="s">
        <v>54</v>
      </c>
      <c r="G22" s="447">
        <f t="shared" si="17"/>
        <v>472.5</v>
      </c>
      <c r="H22" s="447">
        <v>450</v>
      </c>
      <c r="I22" s="473">
        <v>22.5</v>
      </c>
      <c r="J22" s="448">
        <v>0</v>
      </c>
      <c r="K22" s="529">
        <f t="shared" si="19"/>
        <v>103.30000000000003</v>
      </c>
      <c r="L22" s="530">
        <f t="shared" si="20"/>
        <v>101.10000000000002</v>
      </c>
      <c r="M22" s="530">
        <f t="shared" si="20"/>
        <v>2.1999999999999993</v>
      </c>
      <c r="N22" s="529"/>
      <c r="O22" s="530"/>
      <c r="P22" s="530"/>
      <c r="Q22" s="466">
        <f t="shared" si="13"/>
        <v>369.2</v>
      </c>
      <c r="R22" s="448">
        <v>348.9</v>
      </c>
      <c r="S22" s="448">
        <v>20.3</v>
      </c>
      <c r="T22" s="533"/>
      <c r="U22" s="448">
        <f t="shared" si="21"/>
        <v>369.2</v>
      </c>
      <c r="V22" s="448">
        <f t="shared" si="18"/>
        <v>348.9</v>
      </c>
      <c r="W22" s="448">
        <f t="shared" si="18"/>
        <v>20.3</v>
      </c>
      <c r="X22" s="445">
        <f t="shared" si="10"/>
        <v>0</v>
      </c>
      <c r="Y22" s="448"/>
      <c r="Z22" s="448"/>
      <c r="AA22" s="448"/>
      <c r="AB22" s="483"/>
      <c r="AC22" s="483"/>
      <c r="AD22" s="448">
        <f>+AE22+AF22</f>
        <v>369.2</v>
      </c>
      <c r="AE22" s="483">
        <v>348.9</v>
      </c>
      <c r="AF22" s="483">
        <v>20.3</v>
      </c>
      <c r="AG22" s="448"/>
      <c r="AH22" s="483"/>
      <c r="AI22" s="483"/>
      <c r="AJ22" s="448"/>
      <c r="AK22" s="448"/>
      <c r="AL22" s="145"/>
      <c r="AM22" s="369">
        <f>+G14-U14</f>
        <v>1542.1369000000004</v>
      </c>
      <c r="AN22" s="369"/>
      <c r="AO22" s="369"/>
    </row>
    <row r="23" spans="1:41" s="146" customFormat="1" ht="60" hidden="1">
      <c r="A23" s="141">
        <f t="shared" si="16"/>
        <v>9</v>
      </c>
      <c r="B23" s="325" t="s">
        <v>1104</v>
      </c>
      <c r="C23" s="141" t="s">
        <v>69</v>
      </c>
      <c r="D23" s="141"/>
      <c r="E23" s="141" t="s">
        <v>89</v>
      </c>
      <c r="F23" s="141" t="s">
        <v>55</v>
      </c>
      <c r="G23" s="447">
        <f>H23+I23</f>
        <v>288.54000000000002</v>
      </c>
      <c r="H23" s="447">
        <v>274.8</v>
      </c>
      <c r="I23" s="473">
        <v>13.74</v>
      </c>
      <c r="J23" s="448"/>
      <c r="K23" s="483"/>
      <c r="L23" s="448"/>
      <c r="M23" s="448"/>
      <c r="N23" s="529">
        <f>+O23+P23</f>
        <v>80.659999999999968</v>
      </c>
      <c r="O23" s="530">
        <f>+R23-H23</f>
        <v>74.099999999999966</v>
      </c>
      <c r="P23" s="530">
        <f>+S23-I23</f>
        <v>6.5600000000000005</v>
      </c>
      <c r="Q23" s="466">
        <f t="shared" si="13"/>
        <v>369.2</v>
      </c>
      <c r="R23" s="448">
        <v>348.9</v>
      </c>
      <c r="S23" s="448">
        <v>20.3</v>
      </c>
      <c r="T23" s="533"/>
      <c r="U23" s="448">
        <f>+AA23+AD23</f>
        <v>369.2</v>
      </c>
      <c r="V23" s="448">
        <f>+AB23+AE23</f>
        <v>348.9</v>
      </c>
      <c r="W23" s="448">
        <f>+AC23+AF23</f>
        <v>20.3</v>
      </c>
      <c r="X23" s="445">
        <f>Y23+Z23</f>
        <v>0</v>
      </c>
      <c r="Y23" s="448"/>
      <c r="Z23" s="448"/>
      <c r="AA23" s="448"/>
      <c r="AB23" s="483"/>
      <c r="AC23" s="483"/>
      <c r="AD23" s="448">
        <f>+AE23+AF23</f>
        <v>369.2</v>
      </c>
      <c r="AE23" s="483">
        <v>348.9</v>
      </c>
      <c r="AF23" s="483">
        <v>20.3</v>
      </c>
      <c r="AG23" s="448"/>
      <c r="AH23" s="483"/>
      <c r="AI23" s="483"/>
      <c r="AJ23" s="448"/>
      <c r="AK23" s="448"/>
      <c r="AL23" s="145"/>
      <c r="AM23" s="465">
        <f>+AG14-AM22</f>
        <v>0</v>
      </c>
      <c r="AN23" s="369"/>
      <c r="AO23" s="369"/>
    </row>
    <row r="24" spans="1:41" s="146" customFormat="1" ht="45" hidden="1">
      <c r="A24" s="141">
        <f t="shared" si="16"/>
        <v>10</v>
      </c>
      <c r="B24" s="325" t="s">
        <v>82</v>
      </c>
      <c r="C24" s="141" t="s">
        <v>63</v>
      </c>
      <c r="D24" s="141"/>
      <c r="E24" s="141" t="s">
        <v>83</v>
      </c>
      <c r="F24" s="141" t="s">
        <v>55</v>
      </c>
      <c r="G24" s="447">
        <f t="shared" si="17"/>
        <v>105</v>
      </c>
      <c r="H24" s="447">
        <v>100</v>
      </c>
      <c r="I24" s="473">
        <v>5</v>
      </c>
      <c r="J24" s="448"/>
      <c r="K24" s="483"/>
      <c r="L24" s="448"/>
      <c r="M24" s="448"/>
      <c r="N24" s="529">
        <f>+O24+P24</f>
        <v>1.1370000000000005</v>
      </c>
      <c r="O24" s="530">
        <f>+R24-H24</f>
        <v>1.1370000000000005</v>
      </c>
      <c r="P24" s="530"/>
      <c r="Q24" s="466">
        <f t="shared" si="13"/>
        <v>106.137</v>
      </c>
      <c r="R24" s="483">
        <f>100+1.137</f>
        <v>101.137</v>
      </c>
      <c r="S24" s="483">
        <v>5</v>
      </c>
      <c r="T24" s="533"/>
      <c r="U24" s="448">
        <f t="shared" si="21"/>
        <v>0</v>
      </c>
      <c r="V24" s="448">
        <f t="shared" si="18"/>
        <v>0</v>
      </c>
      <c r="W24" s="448">
        <f t="shared" si="18"/>
        <v>0</v>
      </c>
      <c r="X24" s="445">
        <f t="shared" si="10"/>
        <v>0</v>
      </c>
      <c r="Y24" s="448"/>
      <c r="Z24" s="448"/>
      <c r="AA24" s="448"/>
      <c r="AB24" s="483"/>
      <c r="AC24" s="483"/>
      <c r="AD24" s="448"/>
      <c r="AE24" s="483"/>
      <c r="AF24" s="483"/>
      <c r="AG24" s="448">
        <f t="shared" ref="AG24:AG29" si="22">+AH24+AI24</f>
        <v>106.137</v>
      </c>
      <c r="AH24" s="483">
        <f>100+1.137</f>
        <v>101.137</v>
      </c>
      <c r="AI24" s="483">
        <v>5</v>
      </c>
      <c r="AJ24" s="448"/>
      <c r="AK24" s="448"/>
      <c r="AL24" s="145"/>
      <c r="AM24" s="369"/>
      <c r="AN24" s="369"/>
      <c r="AO24" s="369"/>
    </row>
    <row r="25" spans="1:41" s="146" customFormat="1" ht="60" hidden="1">
      <c r="A25" s="141">
        <f t="shared" si="16"/>
        <v>11</v>
      </c>
      <c r="B25" s="325" t="s">
        <v>1163</v>
      </c>
      <c r="C25" s="141" t="s">
        <v>63</v>
      </c>
      <c r="D25" s="141"/>
      <c r="E25" s="141" t="s">
        <v>85</v>
      </c>
      <c r="F25" s="141" t="s">
        <v>55</v>
      </c>
      <c r="G25" s="447">
        <f t="shared" si="17"/>
        <v>131.04</v>
      </c>
      <c r="H25" s="447">
        <v>124.8</v>
      </c>
      <c r="I25" s="473">
        <v>6.24</v>
      </c>
      <c r="J25" s="448"/>
      <c r="K25" s="483"/>
      <c r="L25" s="448"/>
      <c r="M25" s="448"/>
      <c r="N25" s="529">
        <f>+O25+P25</f>
        <v>1.0000000000005116E-2</v>
      </c>
      <c r="O25" s="530">
        <f>+R25-H25</f>
        <v>1.0000000000005116E-2</v>
      </c>
      <c r="P25" s="530"/>
      <c r="Q25" s="466">
        <f t="shared" si="13"/>
        <v>131.05000000000001</v>
      </c>
      <c r="R25" s="483">
        <v>124.81</v>
      </c>
      <c r="S25" s="483">
        <v>6.24</v>
      </c>
      <c r="T25" s="533" t="s">
        <v>1165</v>
      </c>
      <c r="U25" s="448">
        <f t="shared" si="21"/>
        <v>0</v>
      </c>
      <c r="V25" s="448">
        <f t="shared" si="18"/>
        <v>0</v>
      </c>
      <c r="W25" s="448">
        <f t="shared" si="18"/>
        <v>0</v>
      </c>
      <c r="X25" s="445">
        <f t="shared" si="10"/>
        <v>0</v>
      </c>
      <c r="Y25" s="448"/>
      <c r="Z25" s="448"/>
      <c r="AA25" s="448"/>
      <c r="AB25" s="483"/>
      <c r="AC25" s="483"/>
      <c r="AD25" s="448"/>
      <c r="AE25" s="483"/>
      <c r="AF25" s="483"/>
      <c r="AG25" s="448">
        <f t="shared" si="22"/>
        <v>131.05000000000001</v>
      </c>
      <c r="AH25" s="483">
        <v>124.81</v>
      </c>
      <c r="AI25" s="483">
        <v>6.24</v>
      </c>
      <c r="AJ25" s="448"/>
      <c r="AK25" s="448"/>
      <c r="AL25" s="145"/>
      <c r="AM25" s="369"/>
      <c r="AN25" s="369"/>
      <c r="AO25" s="369"/>
    </row>
    <row r="26" spans="1:41" s="146" customFormat="1" ht="45" hidden="1">
      <c r="A26" s="141">
        <f t="shared" si="16"/>
        <v>12</v>
      </c>
      <c r="B26" s="325" t="s">
        <v>86</v>
      </c>
      <c r="C26" s="141" t="s">
        <v>66</v>
      </c>
      <c r="D26" s="141"/>
      <c r="E26" s="141" t="s">
        <v>87</v>
      </c>
      <c r="F26" s="141" t="s">
        <v>55</v>
      </c>
      <c r="G26" s="447">
        <f t="shared" si="17"/>
        <v>288.54000000000002</v>
      </c>
      <c r="H26" s="447">
        <v>274.8</v>
      </c>
      <c r="I26" s="473">
        <v>13.74</v>
      </c>
      <c r="J26" s="448">
        <v>0</v>
      </c>
      <c r="K26" s="483"/>
      <c r="L26" s="448"/>
      <c r="M26" s="448"/>
      <c r="N26" s="529"/>
      <c r="O26" s="530"/>
      <c r="P26" s="530"/>
      <c r="Q26" s="466">
        <f t="shared" si="13"/>
        <v>288.54000000000002</v>
      </c>
      <c r="R26" s="483">
        <v>274.8</v>
      </c>
      <c r="S26" s="483">
        <v>13.74</v>
      </c>
      <c r="T26" s="448"/>
      <c r="U26" s="448">
        <f t="shared" si="21"/>
        <v>0</v>
      </c>
      <c r="V26" s="448">
        <f t="shared" si="18"/>
        <v>0</v>
      </c>
      <c r="W26" s="448">
        <f t="shared" si="18"/>
        <v>0</v>
      </c>
      <c r="X26" s="445">
        <f t="shared" si="10"/>
        <v>0</v>
      </c>
      <c r="Y26" s="448"/>
      <c r="Z26" s="448"/>
      <c r="AA26" s="448"/>
      <c r="AB26" s="483"/>
      <c r="AC26" s="483"/>
      <c r="AD26" s="448"/>
      <c r="AE26" s="483"/>
      <c r="AF26" s="483"/>
      <c r="AG26" s="448">
        <f t="shared" si="22"/>
        <v>288.54000000000002</v>
      </c>
      <c r="AH26" s="483">
        <v>274.8</v>
      </c>
      <c r="AI26" s="483">
        <v>13.74</v>
      </c>
      <c r="AJ26" s="448"/>
      <c r="AK26" s="448"/>
      <c r="AL26" s="145"/>
      <c r="AM26" s="369"/>
      <c r="AN26" s="369"/>
      <c r="AO26" s="369"/>
    </row>
    <row r="27" spans="1:41" s="146" customFormat="1" ht="75" hidden="1">
      <c r="A27" s="141">
        <f t="shared" si="16"/>
        <v>13</v>
      </c>
      <c r="B27" s="325" t="s">
        <v>1164</v>
      </c>
      <c r="C27" s="141" t="s">
        <v>69</v>
      </c>
      <c r="D27" s="141"/>
      <c r="E27" s="141" t="s">
        <v>70</v>
      </c>
      <c r="F27" s="141" t="s">
        <v>55</v>
      </c>
      <c r="G27" s="447">
        <f t="shared" si="17"/>
        <v>420</v>
      </c>
      <c r="H27" s="447">
        <v>400</v>
      </c>
      <c r="I27" s="473">
        <v>20</v>
      </c>
      <c r="J27" s="448"/>
      <c r="K27" s="483">
        <f>+L27+M27</f>
        <v>0.23000000000000043</v>
      </c>
      <c r="L27" s="448"/>
      <c r="M27" s="448">
        <f>+I27-S27</f>
        <v>0.23000000000000043</v>
      </c>
      <c r="N27" s="529">
        <f>+O27+P27</f>
        <v>80.220000000000027</v>
      </c>
      <c r="O27" s="530">
        <f>+R27-H27</f>
        <v>80.220000000000027</v>
      </c>
      <c r="P27" s="530"/>
      <c r="Q27" s="466">
        <f t="shared" si="13"/>
        <v>499.99</v>
      </c>
      <c r="R27" s="483">
        <v>480.22</v>
      </c>
      <c r="S27" s="483">
        <v>19.77</v>
      </c>
      <c r="T27" s="533" t="s">
        <v>1167</v>
      </c>
      <c r="U27" s="448">
        <f t="shared" si="21"/>
        <v>0</v>
      </c>
      <c r="V27" s="448">
        <f t="shared" si="18"/>
        <v>0</v>
      </c>
      <c r="W27" s="448">
        <f t="shared" si="18"/>
        <v>0</v>
      </c>
      <c r="X27" s="445">
        <f t="shared" si="10"/>
        <v>0</v>
      </c>
      <c r="Y27" s="448"/>
      <c r="Z27" s="448"/>
      <c r="AA27" s="448"/>
      <c r="AB27" s="483"/>
      <c r="AC27" s="483"/>
      <c r="AD27" s="448"/>
      <c r="AE27" s="483"/>
      <c r="AF27" s="483"/>
      <c r="AG27" s="448">
        <f t="shared" si="22"/>
        <v>499.99</v>
      </c>
      <c r="AH27" s="483">
        <v>480.22</v>
      </c>
      <c r="AI27" s="483">
        <v>19.77</v>
      </c>
      <c r="AJ27" s="448"/>
      <c r="AK27" s="448"/>
      <c r="AL27" s="145"/>
      <c r="AM27" s="369"/>
      <c r="AN27" s="369"/>
      <c r="AO27" s="369"/>
    </row>
    <row r="28" spans="1:41" s="146" customFormat="1" ht="45" hidden="1">
      <c r="A28" s="141">
        <f t="shared" si="16"/>
        <v>14</v>
      </c>
      <c r="B28" s="467" t="s">
        <v>1108</v>
      </c>
      <c r="C28" s="148" t="s">
        <v>63</v>
      </c>
      <c r="D28" s="148"/>
      <c r="E28" s="148"/>
      <c r="F28" s="148" t="s">
        <v>55</v>
      </c>
      <c r="G28" s="468"/>
      <c r="H28" s="468"/>
      <c r="I28" s="468"/>
      <c r="J28" s="469"/>
      <c r="K28" s="484"/>
      <c r="L28" s="469"/>
      <c r="M28" s="469"/>
      <c r="N28" s="531">
        <f>+O28+P28</f>
        <v>264</v>
      </c>
      <c r="O28" s="532">
        <v>255.42</v>
      </c>
      <c r="P28" s="532">
        <v>8.58</v>
      </c>
      <c r="Q28" s="450">
        <f t="shared" si="13"/>
        <v>264</v>
      </c>
      <c r="R28" s="484">
        <v>255.42</v>
      </c>
      <c r="S28" s="484">
        <v>8.58</v>
      </c>
      <c r="T28" s="534" t="s">
        <v>1166</v>
      </c>
      <c r="U28" s="469"/>
      <c r="V28" s="469"/>
      <c r="W28" s="469"/>
      <c r="X28" s="505"/>
      <c r="Y28" s="469"/>
      <c r="Z28" s="469"/>
      <c r="AA28" s="469"/>
      <c r="AB28" s="484"/>
      <c r="AC28" s="484"/>
      <c r="AD28" s="469"/>
      <c r="AE28" s="484"/>
      <c r="AF28" s="484"/>
      <c r="AG28" s="469">
        <f t="shared" si="22"/>
        <v>264</v>
      </c>
      <c r="AH28" s="484">
        <v>255.42</v>
      </c>
      <c r="AI28" s="484">
        <v>8.58</v>
      </c>
      <c r="AJ28" s="469"/>
      <c r="AK28" s="469"/>
      <c r="AL28" s="470"/>
      <c r="AM28" s="369"/>
      <c r="AN28" s="369"/>
      <c r="AO28" s="369"/>
    </row>
    <row r="29" spans="1:41" s="146" customFormat="1" ht="50.25" hidden="1" customHeight="1">
      <c r="A29" s="141">
        <f t="shared" si="16"/>
        <v>15</v>
      </c>
      <c r="B29" s="467" t="s">
        <v>1109</v>
      </c>
      <c r="C29" s="148" t="s">
        <v>66</v>
      </c>
      <c r="D29" s="148"/>
      <c r="E29" s="148"/>
      <c r="F29" s="148" t="s">
        <v>55</v>
      </c>
      <c r="G29" s="468"/>
      <c r="H29" s="468"/>
      <c r="I29" s="468"/>
      <c r="J29" s="469"/>
      <c r="K29" s="484"/>
      <c r="L29" s="469"/>
      <c r="M29" s="469"/>
      <c r="N29" s="531">
        <f>+O29+P29</f>
        <v>252.41989999999998</v>
      </c>
      <c r="O29" s="532">
        <f>205.42+40.9699</f>
        <v>246.38989999999998</v>
      </c>
      <c r="P29" s="532">
        <v>6.03</v>
      </c>
      <c r="Q29" s="450">
        <f t="shared" si="13"/>
        <v>252.41989999999998</v>
      </c>
      <c r="R29" s="484">
        <f>205.42+40.9699</f>
        <v>246.38989999999998</v>
      </c>
      <c r="S29" s="484">
        <v>6.03</v>
      </c>
      <c r="T29" s="534" t="s">
        <v>1166</v>
      </c>
      <c r="U29" s="469"/>
      <c r="V29" s="469"/>
      <c r="W29" s="469"/>
      <c r="X29" s="505"/>
      <c r="Y29" s="469"/>
      <c r="Z29" s="469"/>
      <c r="AA29" s="469"/>
      <c r="AB29" s="484"/>
      <c r="AC29" s="484"/>
      <c r="AD29" s="469"/>
      <c r="AE29" s="484"/>
      <c r="AF29" s="484"/>
      <c r="AG29" s="469">
        <f t="shared" si="22"/>
        <v>252.41989999999998</v>
      </c>
      <c r="AH29" s="484">
        <f>205.42+40.9699</f>
        <v>246.38989999999998</v>
      </c>
      <c r="AI29" s="484">
        <v>6.03</v>
      </c>
      <c r="AJ29" s="469"/>
      <c r="AK29" s="469"/>
      <c r="AL29" s="470"/>
      <c r="AM29" s="369"/>
      <c r="AN29" s="369"/>
      <c r="AO29" s="369"/>
    </row>
    <row r="30" spans="1:41" s="14" customFormat="1" ht="23.25" customHeight="1">
      <c r="A30" s="4" t="s">
        <v>988</v>
      </c>
      <c r="B30" s="507" t="s">
        <v>91</v>
      </c>
      <c r="C30" s="4"/>
      <c r="D30" s="4"/>
      <c r="E30" s="417">
        <v>0</v>
      </c>
      <c r="F30" s="417"/>
      <c r="G30" s="446">
        <f>SUM(G31:G44)</f>
        <v>10104.68</v>
      </c>
      <c r="H30" s="446">
        <f>SUM(H31:H44)</f>
        <v>9623.51</v>
      </c>
      <c r="I30" s="446">
        <f t="shared" ref="I30:AK30" si="23">SUM(I31:I44)</f>
        <v>481.16999999999996</v>
      </c>
      <c r="J30" s="446">
        <f t="shared" si="23"/>
        <v>0</v>
      </c>
      <c r="K30" s="446">
        <f t="shared" si="23"/>
        <v>738.71</v>
      </c>
      <c r="L30" s="446">
        <f t="shared" si="23"/>
        <v>725.24</v>
      </c>
      <c r="M30" s="446">
        <f t="shared" si="23"/>
        <v>13.469999999999992</v>
      </c>
      <c r="N30" s="446">
        <f t="shared" si="23"/>
        <v>738.71</v>
      </c>
      <c r="O30" s="446">
        <f t="shared" si="23"/>
        <v>725.24</v>
      </c>
      <c r="P30" s="446">
        <f t="shared" si="23"/>
        <v>13.469999999999992</v>
      </c>
      <c r="Q30" s="541">
        <f t="shared" si="23"/>
        <v>10104.68</v>
      </c>
      <c r="R30" s="535">
        <f t="shared" si="23"/>
        <v>9623.51</v>
      </c>
      <c r="S30" s="535">
        <f t="shared" si="23"/>
        <v>481.16999999999996</v>
      </c>
      <c r="T30" s="446">
        <f t="shared" si="23"/>
        <v>0</v>
      </c>
      <c r="U30" s="446">
        <f t="shared" si="23"/>
        <v>6746.67</v>
      </c>
      <c r="V30" s="446">
        <f t="shared" si="23"/>
        <v>6398.2699999999995</v>
      </c>
      <c r="W30" s="446">
        <f t="shared" si="23"/>
        <v>348.4</v>
      </c>
      <c r="X30" s="446">
        <f t="shared" si="23"/>
        <v>1818.67</v>
      </c>
      <c r="Y30" s="446">
        <f t="shared" si="23"/>
        <v>1732.07</v>
      </c>
      <c r="Z30" s="446">
        <f t="shared" si="23"/>
        <v>86.6</v>
      </c>
      <c r="AA30" s="446">
        <f t="shared" si="23"/>
        <v>2447.4</v>
      </c>
      <c r="AB30" s="482">
        <f t="shared" si="23"/>
        <v>2322</v>
      </c>
      <c r="AC30" s="482">
        <f t="shared" si="23"/>
        <v>125.4</v>
      </c>
      <c r="AD30" s="446">
        <f t="shared" si="23"/>
        <v>2480.6000000000004</v>
      </c>
      <c r="AE30" s="482">
        <f t="shared" si="23"/>
        <v>2344.1999999999998</v>
      </c>
      <c r="AF30" s="482">
        <f t="shared" si="23"/>
        <v>136.39999999999998</v>
      </c>
      <c r="AG30" s="446">
        <f t="shared" si="23"/>
        <v>3358.01</v>
      </c>
      <c r="AH30" s="482">
        <f t="shared" si="23"/>
        <v>3225.24</v>
      </c>
      <c r="AI30" s="482">
        <f t="shared" si="23"/>
        <v>132.76999999999998</v>
      </c>
      <c r="AJ30" s="446"/>
      <c r="AK30" s="446">
        <f t="shared" si="23"/>
        <v>0</v>
      </c>
      <c r="AL30" s="16"/>
      <c r="AM30" s="368">
        <f>+'NĂM 2022'!K25+'NĂM 2023'!N26+'NĂM 2024'!J26+'NĂM 2025'!J27</f>
        <v>10104.68</v>
      </c>
      <c r="AN30" s="368">
        <f>+'NĂM 2022'!L25+'NĂM 2023'!O26+'NĂM 2024'!K26+'NĂM 2025'!K27</f>
        <v>9623.51</v>
      </c>
      <c r="AO30" s="368">
        <f>+'NĂM 2022'!M25+'NĂM 2023'!P26+'NĂM 2024'!L26+'NĂM 2025'!L27</f>
        <v>481.16999999999996</v>
      </c>
    </row>
    <row r="31" spans="1:41" s="146" customFormat="1" ht="75" hidden="1">
      <c r="A31" s="141">
        <v>1</v>
      </c>
      <c r="B31" s="325" t="s">
        <v>92</v>
      </c>
      <c r="C31" s="141" t="s">
        <v>93</v>
      </c>
      <c r="D31" s="141"/>
      <c r="E31" s="141" t="s">
        <v>94</v>
      </c>
      <c r="F31" s="141" t="s">
        <v>52</v>
      </c>
      <c r="G31" s="447">
        <f t="shared" si="17"/>
        <v>462</v>
      </c>
      <c r="H31" s="447">
        <v>440</v>
      </c>
      <c r="I31" s="447">
        <v>22</v>
      </c>
      <c r="J31" s="448">
        <v>0</v>
      </c>
      <c r="K31" s="483">
        <f>+Q31-G31</f>
        <v>0</v>
      </c>
      <c r="L31" s="448"/>
      <c r="M31" s="448"/>
      <c r="N31" s="483"/>
      <c r="O31" s="448"/>
      <c r="P31" s="448"/>
      <c r="Q31" s="466">
        <f>+R31+S31</f>
        <v>462</v>
      </c>
      <c r="R31" s="448">
        <v>440</v>
      </c>
      <c r="S31" s="448">
        <v>22</v>
      </c>
      <c r="T31" s="448"/>
      <c r="U31" s="448">
        <f>+X31+AA31+AD31</f>
        <v>462</v>
      </c>
      <c r="V31" s="448">
        <f t="shared" ref="V31:W44" si="24">+Y31+AB31+AE31</f>
        <v>440</v>
      </c>
      <c r="W31" s="448">
        <f t="shared" si="24"/>
        <v>22</v>
      </c>
      <c r="X31" s="445">
        <f t="shared" si="10"/>
        <v>462</v>
      </c>
      <c r="Y31" s="447">
        <v>440</v>
      </c>
      <c r="Z31" s="447">
        <v>22</v>
      </c>
      <c r="AA31" s="447"/>
      <c r="AB31" s="481"/>
      <c r="AC31" s="481"/>
      <c r="AD31" s="447"/>
      <c r="AE31" s="481"/>
      <c r="AF31" s="481"/>
      <c r="AG31" s="447"/>
      <c r="AH31" s="481"/>
      <c r="AI31" s="481"/>
      <c r="AJ31" s="447"/>
      <c r="AK31" s="448"/>
      <c r="AL31" s="145"/>
      <c r="AM31" s="465">
        <f>+G30-U30</f>
        <v>3358.01</v>
      </c>
      <c r="AN31" s="465">
        <f>+H30-V30</f>
        <v>3225.2400000000007</v>
      </c>
      <c r="AO31" s="465">
        <f>+I30-W30</f>
        <v>132.76999999999998</v>
      </c>
    </row>
    <row r="32" spans="1:41" s="146" customFormat="1" ht="75" hidden="1">
      <c r="A32" s="141">
        <v>2</v>
      </c>
      <c r="B32" s="325" t="s">
        <v>95</v>
      </c>
      <c r="C32" s="141" t="s">
        <v>96</v>
      </c>
      <c r="D32" s="141"/>
      <c r="E32" s="141" t="s">
        <v>94</v>
      </c>
      <c r="F32" s="141" t="s">
        <v>52</v>
      </c>
      <c r="G32" s="447">
        <f t="shared" si="17"/>
        <v>462</v>
      </c>
      <c r="H32" s="447">
        <v>440</v>
      </c>
      <c r="I32" s="447">
        <v>22</v>
      </c>
      <c r="J32" s="448">
        <v>0</v>
      </c>
      <c r="K32" s="483">
        <f t="shared" ref="K32:K44" si="25">+Q32-G32</f>
        <v>0</v>
      </c>
      <c r="L32" s="448"/>
      <c r="M32" s="448"/>
      <c r="N32" s="483"/>
      <c r="O32" s="448"/>
      <c r="P32" s="448"/>
      <c r="Q32" s="466">
        <f t="shared" ref="Q32:Q41" si="26">+R32+S32</f>
        <v>462</v>
      </c>
      <c r="R32" s="448">
        <v>440</v>
      </c>
      <c r="S32" s="448">
        <v>22</v>
      </c>
      <c r="T32" s="448"/>
      <c r="U32" s="448">
        <f t="shared" ref="U32:U44" si="27">+X32+AA32+AD32</f>
        <v>462</v>
      </c>
      <c r="V32" s="448">
        <f t="shared" si="24"/>
        <v>440</v>
      </c>
      <c r="W32" s="448">
        <f t="shared" si="24"/>
        <v>22</v>
      </c>
      <c r="X32" s="445">
        <f t="shared" si="10"/>
        <v>462</v>
      </c>
      <c r="Y32" s="447">
        <v>440</v>
      </c>
      <c r="Z32" s="447">
        <v>22</v>
      </c>
      <c r="AA32" s="447"/>
      <c r="AB32" s="481"/>
      <c r="AC32" s="481"/>
      <c r="AD32" s="447"/>
      <c r="AE32" s="481"/>
      <c r="AF32" s="481"/>
      <c r="AG32" s="447"/>
      <c r="AH32" s="481"/>
      <c r="AI32" s="481"/>
      <c r="AJ32" s="447"/>
      <c r="AK32" s="448"/>
      <c r="AL32" s="145"/>
      <c r="AM32" s="369">
        <f>+AG30-AM31</f>
        <v>0</v>
      </c>
      <c r="AN32" s="369">
        <f t="shared" ref="AN32:AO32" si="28">+AH30-AN31</f>
        <v>0</v>
      </c>
      <c r="AO32" s="369">
        <f t="shared" si="28"/>
        <v>0</v>
      </c>
    </row>
    <row r="33" spans="1:41" s="146" customFormat="1" ht="75" hidden="1">
      <c r="A33" s="141">
        <v>3</v>
      </c>
      <c r="B33" s="325" t="s">
        <v>97</v>
      </c>
      <c r="C33" s="141" t="s">
        <v>98</v>
      </c>
      <c r="D33" s="141"/>
      <c r="E33" s="141" t="s">
        <v>99</v>
      </c>
      <c r="F33" s="141" t="s">
        <v>52</v>
      </c>
      <c r="G33" s="447">
        <f t="shared" si="17"/>
        <v>630</v>
      </c>
      <c r="H33" s="447">
        <v>600</v>
      </c>
      <c r="I33" s="447">
        <v>30</v>
      </c>
      <c r="J33" s="448">
        <v>0</v>
      </c>
      <c r="K33" s="483">
        <f t="shared" si="25"/>
        <v>0</v>
      </c>
      <c r="L33" s="448"/>
      <c r="M33" s="448"/>
      <c r="N33" s="483"/>
      <c r="O33" s="448"/>
      <c r="P33" s="448"/>
      <c r="Q33" s="466">
        <f t="shared" si="26"/>
        <v>630</v>
      </c>
      <c r="R33" s="448">
        <v>600</v>
      </c>
      <c r="S33" s="448">
        <v>30</v>
      </c>
      <c r="T33" s="448"/>
      <c r="U33" s="448">
        <f t="shared" si="27"/>
        <v>630</v>
      </c>
      <c r="V33" s="448">
        <f t="shared" si="24"/>
        <v>600</v>
      </c>
      <c r="W33" s="448">
        <f t="shared" si="24"/>
        <v>30</v>
      </c>
      <c r="X33" s="445">
        <f t="shared" si="10"/>
        <v>630</v>
      </c>
      <c r="Y33" s="447">
        <v>600</v>
      </c>
      <c r="Z33" s="447">
        <v>30</v>
      </c>
      <c r="AA33" s="447"/>
      <c r="AB33" s="481"/>
      <c r="AC33" s="481"/>
      <c r="AD33" s="447"/>
      <c r="AE33" s="481"/>
      <c r="AF33" s="481"/>
      <c r="AG33" s="447"/>
      <c r="AH33" s="481"/>
      <c r="AI33" s="481"/>
      <c r="AJ33" s="447"/>
      <c r="AK33" s="448"/>
      <c r="AL33" s="145"/>
      <c r="AM33" s="369"/>
      <c r="AN33" s="369"/>
      <c r="AO33" s="369"/>
    </row>
    <row r="34" spans="1:41" s="146" customFormat="1" ht="45" hidden="1">
      <c r="A34" s="141">
        <v>4</v>
      </c>
      <c r="B34" s="325" t="s">
        <v>100</v>
      </c>
      <c r="C34" s="141" t="s">
        <v>93</v>
      </c>
      <c r="D34" s="141"/>
      <c r="E34" s="141" t="s">
        <v>101</v>
      </c>
      <c r="F34" s="141" t="s">
        <v>52</v>
      </c>
      <c r="G34" s="447">
        <f t="shared" si="17"/>
        <v>264.67</v>
      </c>
      <c r="H34" s="447">
        <v>252.07</v>
      </c>
      <c r="I34" s="447">
        <v>12.6</v>
      </c>
      <c r="J34" s="448">
        <v>0</v>
      </c>
      <c r="K34" s="483">
        <f t="shared" si="25"/>
        <v>0</v>
      </c>
      <c r="L34" s="448"/>
      <c r="M34" s="448"/>
      <c r="N34" s="483"/>
      <c r="O34" s="448"/>
      <c r="P34" s="448"/>
      <c r="Q34" s="466">
        <f t="shared" si="26"/>
        <v>264.67</v>
      </c>
      <c r="R34" s="448">
        <v>252.07</v>
      </c>
      <c r="S34" s="448">
        <v>12.6</v>
      </c>
      <c r="T34" s="448"/>
      <c r="U34" s="448">
        <f t="shared" si="27"/>
        <v>264.67</v>
      </c>
      <c r="V34" s="448">
        <f t="shared" si="24"/>
        <v>252.07</v>
      </c>
      <c r="W34" s="448">
        <f t="shared" si="24"/>
        <v>12.6</v>
      </c>
      <c r="X34" s="445">
        <f t="shared" si="10"/>
        <v>264.67</v>
      </c>
      <c r="Y34" s="447">
        <v>252.07</v>
      </c>
      <c r="Z34" s="447">
        <v>12.6</v>
      </c>
      <c r="AA34" s="447"/>
      <c r="AB34" s="481"/>
      <c r="AC34" s="481"/>
      <c r="AD34" s="447"/>
      <c r="AE34" s="481"/>
      <c r="AF34" s="481"/>
      <c r="AG34" s="447"/>
      <c r="AH34" s="481"/>
      <c r="AI34" s="481"/>
      <c r="AJ34" s="447"/>
      <c r="AK34" s="448"/>
      <c r="AL34" s="145"/>
      <c r="AM34" s="369"/>
      <c r="AN34" s="369"/>
      <c r="AO34" s="369"/>
    </row>
    <row r="35" spans="1:41" s="146" customFormat="1" ht="75" hidden="1">
      <c r="A35" s="141">
        <v>5</v>
      </c>
      <c r="B35" s="325" t="s">
        <v>102</v>
      </c>
      <c r="C35" s="134" t="s">
        <v>115</v>
      </c>
      <c r="D35" s="141"/>
      <c r="E35" s="141" t="s">
        <v>94</v>
      </c>
      <c r="F35" s="141" t="s">
        <v>53</v>
      </c>
      <c r="G35" s="447">
        <f t="shared" si="17"/>
        <v>462</v>
      </c>
      <c r="H35" s="447">
        <v>440</v>
      </c>
      <c r="I35" s="447">
        <v>22</v>
      </c>
      <c r="J35" s="448">
        <v>0</v>
      </c>
      <c r="K35" s="483">
        <f t="shared" si="25"/>
        <v>0</v>
      </c>
      <c r="L35" s="448"/>
      <c r="M35" s="448"/>
      <c r="N35" s="483"/>
      <c r="O35" s="448"/>
      <c r="P35" s="448"/>
      <c r="Q35" s="466">
        <f t="shared" si="26"/>
        <v>462</v>
      </c>
      <c r="R35" s="448">
        <v>440</v>
      </c>
      <c r="S35" s="448">
        <v>22</v>
      </c>
      <c r="T35" s="448"/>
      <c r="U35" s="448">
        <f t="shared" si="27"/>
        <v>462</v>
      </c>
      <c r="V35" s="448">
        <f t="shared" si="24"/>
        <v>440</v>
      </c>
      <c r="W35" s="448">
        <f t="shared" si="24"/>
        <v>22</v>
      </c>
      <c r="X35" s="445">
        <f t="shared" si="10"/>
        <v>0</v>
      </c>
      <c r="Y35" s="448"/>
      <c r="Z35" s="448"/>
      <c r="AA35" s="448">
        <f>+AB35+AC35</f>
        <v>462</v>
      </c>
      <c r="AB35" s="483">
        <v>440</v>
      </c>
      <c r="AC35" s="483">
        <v>22</v>
      </c>
      <c r="AD35" s="448"/>
      <c r="AE35" s="483"/>
      <c r="AF35" s="483"/>
      <c r="AG35" s="448"/>
      <c r="AH35" s="483"/>
      <c r="AI35" s="483"/>
      <c r="AJ35" s="448"/>
      <c r="AK35" s="448"/>
      <c r="AL35" s="145"/>
      <c r="AM35" s="369"/>
      <c r="AN35" s="369"/>
      <c r="AO35" s="369"/>
    </row>
    <row r="36" spans="1:41" s="146" customFormat="1" ht="75" hidden="1">
      <c r="A36" s="141">
        <v>6</v>
      </c>
      <c r="B36" s="325" t="s">
        <v>103</v>
      </c>
      <c r="C36" s="141" t="s">
        <v>96</v>
      </c>
      <c r="D36" s="141"/>
      <c r="E36" s="141" t="s">
        <v>104</v>
      </c>
      <c r="F36" s="141" t="s">
        <v>53</v>
      </c>
      <c r="G36" s="447">
        <f t="shared" si="17"/>
        <v>735</v>
      </c>
      <c r="H36" s="447">
        <v>700</v>
      </c>
      <c r="I36" s="447">
        <v>35</v>
      </c>
      <c r="J36" s="448">
        <v>0</v>
      </c>
      <c r="K36" s="483">
        <f t="shared" si="25"/>
        <v>0</v>
      </c>
      <c r="L36" s="448"/>
      <c r="M36" s="448"/>
      <c r="N36" s="483"/>
      <c r="O36" s="448"/>
      <c r="P36" s="448"/>
      <c r="Q36" s="466">
        <f t="shared" si="26"/>
        <v>735</v>
      </c>
      <c r="R36" s="448">
        <v>700</v>
      </c>
      <c r="S36" s="448">
        <v>35</v>
      </c>
      <c r="T36" s="448"/>
      <c r="U36" s="448">
        <f t="shared" si="27"/>
        <v>735</v>
      </c>
      <c r="V36" s="448">
        <f t="shared" si="24"/>
        <v>700</v>
      </c>
      <c r="W36" s="448">
        <f t="shared" si="24"/>
        <v>35</v>
      </c>
      <c r="X36" s="445">
        <f t="shared" si="10"/>
        <v>0</v>
      </c>
      <c r="Y36" s="448"/>
      <c r="Z36" s="448"/>
      <c r="AA36" s="448">
        <f>+AB36+AC36</f>
        <v>735</v>
      </c>
      <c r="AB36" s="483">
        <v>700</v>
      </c>
      <c r="AC36" s="483">
        <v>35</v>
      </c>
      <c r="AD36" s="448"/>
      <c r="AE36" s="483"/>
      <c r="AF36" s="483"/>
      <c r="AG36" s="448"/>
      <c r="AH36" s="483"/>
      <c r="AI36" s="483"/>
      <c r="AJ36" s="448"/>
      <c r="AK36" s="448"/>
      <c r="AL36" s="145"/>
      <c r="AM36" s="369"/>
      <c r="AN36" s="369"/>
      <c r="AO36" s="369"/>
    </row>
    <row r="37" spans="1:41" s="146" customFormat="1" ht="75" hidden="1">
      <c r="A37" s="141">
        <v>7</v>
      </c>
      <c r="B37" s="325" t="s">
        <v>105</v>
      </c>
      <c r="C37" s="141" t="s">
        <v>106</v>
      </c>
      <c r="D37" s="141"/>
      <c r="E37" s="141" t="s">
        <v>107</v>
      </c>
      <c r="F37" s="141" t="s">
        <v>53</v>
      </c>
      <c r="G37" s="447">
        <f t="shared" si="17"/>
        <v>1470</v>
      </c>
      <c r="H37" s="447">
        <v>1400</v>
      </c>
      <c r="I37" s="447">
        <v>70</v>
      </c>
      <c r="J37" s="448">
        <v>0</v>
      </c>
      <c r="K37" s="483">
        <f>+L37+M37</f>
        <v>219.6</v>
      </c>
      <c r="L37" s="448">
        <f>+H37-R37</f>
        <v>218</v>
      </c>
      <c r="M37" s="448">
        <f>+I37-S37</f>
        <v>1.5999999999999943</v>
      </c>
      <c r="N37" s="483"/>
      <c r="O37" s="448"/>
      <c r="P37" s="448"/>
      <c r="Q37" s="466">
        <f t="shared" si="26"/>
        <v>1250.4000000000001</v>
      </c>
      <c r="R37" s="448">
        <v>1182</v>
      </c>
      <c r="S37" s="448">
        <v>68.400000000000006</v>
      </c>
      <c r="T37" s="448"/>
      <c r="U37" s="448">
        <f t="shared" si="27"/>
        <v>1250.4000000000001</v>
      </c>
      <c r="V37" s="448">
        <f t="shared" si="24"/>
        <v>1182</v>
      </c>
      <c r="W37" s="448">
        <f t="shared" si="24"/>
        <v>68.400000000000006</v>
      </c>
      <c r="X37" s="445">
        <f t="shared" si="10"/>
        <v>0</v>
      </c>
      <c r="Y37" s="448"/>
      <c r="Z37" s="448"/>
      <c r="AA37" s="448">
        <f>+AB37+AC37</f>
        <v>1250.4000000000001</v>
      </c>
      <c r="AB37" s="483">
        <v>1182</v>
      </c>
      <c r="AC37" s="483">
        <v>68.400000000000006</v>
      </c>
      <c r="AD37" s="448"/>
      <c r="AE37" s="483"/>
      <c r="AF37" s="483"/>
      <c r="AG37" s="448"/>
      <c r="AH37" s="483"/>
      <c r="AI37" s="483"/>
      <c r="AJ37" s="448"/>
      <c r="AK37" s="448"/>
      <c r="AL37" s="145"/>
      <c r="AM37" s="369"/>
      <c r="AN37" s="369"/>
      <c r="AO37" s="369"/>
    </row>
    <row r="38" spans="1:41" s="146" customFormat="1" ht="75" hidden="1">
      <c r="A38" s="141">
        <v>8</v>
      </c>
      <c r="B38" s="325" t="s">
        <v>108</v>
      </c>
      <c r="C38" s="141" t="s">
        <v>109</v>
      </c>
      <c r="D38" s="141"/>
      <c r="E38" s="141" t="s">
        <v>110</v>
      </c>
      <c r="F38" s="141" t="s">
        <v>54</v>
      </c>
      <c r="G38" s="447">
        <f t="shared" si="17"/>
        <v>810.0100000000001</v>
      </c>
      <c r="H38" s="447">
        <v>771.44</v>
      </c>
      <c r="I38" s="447">
        <v>38.57</v>
      </c>
      <c r="J38" s="448">
        <v>0</v>
      </c>
      <c r="K38" s="483">
        <f t="shared" ref="K38:K39" si="29">+L38+M38</f>
        <v>181.21</v>
      </c>
      <c r="L38" s="448">
        <f t="shared" ref="L38:M39" si="30">+H38-R38</f>
        <v>177.24</v>
      </c>
      <c r="M38" s="448">
        <f t="shared" si="30"/>
        <v>3.9699999999999989</v>
      </c>
      <c r="N38" s="483"/>
      <c r="O38" s="448"/>
      <c r="P38" s="448"/>
      <c r="Q38" s="466">
        <f t="shared" si="26"/>
        <v>628.80000000000007</v>
      </c>
      <c r="R38" s="448">
        <v>594.20000000000005</v>
      </c>
      <c r="S38" s="448">
        <v>34.6</v>
      </c>
      <c r="T38" s="448"/>
      <c r="U38" s="448">
        <f t="shared" si="27"/>
        <v>628.80000000000007</v>
      </c>
      <c r="V38" s="448">
        <f t="shared" si="24"/>
        <v>594.20000000000005</v>
      </c>
      <c r="W38" s="448">
        <f t="shared" si="24"/>
        <v>34.6</v>
      </c>
      <c r="X38" s="445">
        <f t="shared" si="10"/>
        <v>0</v>
      </c>
      <c r="Y38" s="448"/>
      <c r="Z38" s="448"/>
      <c r="AA38" s="448"/>
      <c r="AB38" s="483"/>
      <c r="AC38" s="483"/>
      <c r="AD38" s="448">
        <f>+AE38+AF38</f>
        <v>628.80000000000007</v>
      </c>
      <c r="AE38" s="483">
        <v>594.20000000000005</v>
      </c>
      <c r="AF38" s="483">
        <v>34.6</v>
      </c>
      <c r="AG38" s="448"/>
      <c r="AH38" s="483"/>
      <c r="AI38" s="483"/>
      <c r="AJ38" s="448"/>
      <c r="AK38" s="448"/>
      <c r="AL38" s="145"/>
      <c r="AM38" s="369"/>
      <c r="AN38" s="369"/>
      <c r="AO38" s="369"/>
    </row>
    <row r="39" spans="1:41" s="146" customFormat="1" ht="75" hidden="1">
      <c r="A39" s="141">
        <v>9</v>
      </c>
      <c r="B39" s="325" t="s">
        <v>111</v>
      </c>
      <c r="C39" s="141" t="s">
        <v>93</v>
      </c>
      <c r="D39" s="141"/>
      <c r="E39" s="141" t="s">
        <v>110</v>
      </c>
      <c r="F39" s="141" t="s">
        <v>54</v>
      </c>
      <c r="G39" s="447">
        <f t="shared" si="17"/>
        <v>714</v>
      </c>
      <c r="H39" s="447">
        <v>680</v>
      </c>
      <c r="I39" s="447">
        <v>34</v>
      </c>
      <c r="J39" s="448">
        <v>0</v>
      </c>
      <c r="K39" s="483">
        <f t="shared" si="29"/>
        <v>237.9</v>
      </c>
      <c r="L39" s="448">
        <f t="shared" si="30"/>
        <v>230</v>
      </c>
      <c r="M39" s="448">
        <f t="shared" si="30"/>
        <v>7.8999999999999986</v>
      </c>
      <c r="N39" s="483"/>
      <c r="O39" s="448"/>
      <c r="P39" s="448"/>
      <c r="Q39" s="466">
        <f t="shared" si="26"/>
        <v>476.1</v>
      </c>
      <c r="R39" s="448">
        <v>450</v>
      </c>
      <c r="S39" s="448">
        <v>26.1</v>
      </c>
      <c r="T39" s="448"/>
      <c r="U39" s="448">
        <f t="shared" si="27"/>
        <v>476.1</v>
      </c>
      <c r="V39" s="448">
        <f t="shared" si="24"/>
        <v>450</v>
      </c>
      <c r="W39" s="448">
        <f t="shared" si="24"/>
        <v>26.1</v>
      </c>
      <c r="X39" s="445">
        <f t="shared" si="10"/>
        <v>0</v>
      </c>
      <c r="Y39" s="448"/>
      <c r="Z39" s="448"/>
      <c r="AA39" s="448"/>
      <c r="AB39" s="483"/>
      <c r="AC39" s="483"/>
      <c r="AD39" s="448">
        <f>+AE39+AF39</f>
        <v>476.1</v>
      </c>
      <c r="AE39" s="483">
        <v>450</v>
      </c>
      <c r="AF39" s="483">
        <v>26.1</v>
      </c>
      <c r="AG39" s="448"/>
      <c r="AH39" s="483"/>
      <c r="AI39" s="483"/>
      <c r="AJ39" s="448"/>
      <c r="AK39" s="448"/>
      <c r="AL39" s="145"/>
      <c r="AM39" s="369"/>
      <c r="AN39" s="369"/>
      <c r="AO39" s="369"/>
    </row>
    <row r="40" spans="1:41" s="149" customFormat="1" ht="48" hidden="1" customHeight="1">
      <c r="A40" s="135">
        <v>10</v>
      </c>
      <c r="B40" s="327" t="s">
        <v>793</v>
      </c>
      <c r="C40" s="135" t="s">
        <v>794</v>
      </c>
      <c r="D40" s="135"/>
      <c r="E40" s="135" t="s">
        <v>795</v>
      </c>
      <c r="F40" s="135" t="s">
        <v>54</v>
      </c>
      <c r="G40" s="449">
        <f>H40+I40</f>
        <v>367.5</v>
      </c>
      <c r="H40" s="449">
        <v>350</v>
      </c>
      <c r="I40" s="449">
        <v>17.5</v>
      </c>
      <c r="J40" s="450"/>
      <c r="K40" s="483"/>
      <c r="L40" s="450"/>
      <c r="M40" s="450"/>
      <c r="N40" s="484">
        <f>+O40+P40</f>
        <v>2.8999999999999986</v>
      </c>
      <c r="O40" s="450">
        <f>+R40-H40</f>
        <v>0</v>
      </c>
      <c r="P40" s="450">
        <f>+S40-I40</f>
        <v>2.8999999999999986</v>
      </c>
      <c r="Q40" s="466">
        <f t="shared" si="26"/>
        <v>370.4</v>
      </c>
      <c r="R40" s="450">
        <v>350</v>
      </c>
      <c r="S40" s="450">
        <v>20.399999999999999</v>
      </c>
      <c r="T40" s="450"/>
      <c r="U40" s="448">
        <f t="shared" si="27"/>
        <v>370.4</v>
      </c>
      <c r="V40" s="448">
        <f t="shared" si="24"/>
        <v>350</v>
      </c>
      <c r="W40" s="448">
        <f t="shared" si="24"/>
        <v>20.399999999999999</v>
      </c>
      <c r="X40" s="505">
        <f t="shared" si="10"/>
        <v>0</v>
      </c>
      <c r="Y40" s="450"/>
      <c r="Z40" s="450"/>
      <c r="AA40" s="450"/>
      <c r="AB40" s="484"/>
      <c r="AC40" s="484"/>
      <c r="AD40" s="448">
        <f>+AE40+AF40</f>
        <v>370.4</v>
      </c>
      <c r="AE40" s="484">
        <v>350</v>
      </c>
      <c r="AF40" s="484">
        <v>20.399999999999999</v>
      </c>
      <c r="AG40" s="450"/>
      <c r="AH40" s="484"/>
      <c r="AI40" s="484"/>
      <c r="AJ40" s="450"/>
      <c r="AK40" s="450"/>
      <c r="AL40" s="138"/>
      <c r="AM40" s="370"/>
      <c r="AN40" s="370"/>
      <c r="AO40" s="370"/>
    </row>
    <row r="41" spans="1:41" s="149" customFormat="1" ht="75" hidden="1">
      <c r="A41" s="135">
        <v>11</v>
      </c>
      <c r="B41" s="327" t="s">
        <v>796</v>
      </c>
      <c r="C41" s="135" t="s">
        <v>106</v>
      </c>
      <c r="D41" s="135"/>
      <c r="E41" s="135" t="s">
        <v>797</v>
      </c>
      <c r="F41" s="135" t="s">
        <v>54</v>
      </c>
      <c r="G41" s="449">
        <f>H41+I41</f>
        <v>1102.5</v>
      </c>
      <c r="H41" s="449">
        <v>1050</v>
      </c>
      <c r="I41" s="449">
        <v>52.5</v>
      </c>
      <c r="J41" s="450"/>
      <c r="K41" s="483">
        <f t="shared" ref="K41" si="31">+L41+M41</f>
        <v>100</v>
      </c>
      <c r="L41" s="448">
        <f t="shared" ref="L41" si="32">+H41-R41</f>
        <v>100</v>
      </c>
      <c r="M41" s="448"/>
      <c r="N41" s="484">
        <f>+O41+P41</f>
        <v>2.7999999999999972</v>
      </c>
      <c r="O41" s="450"/>
      <c r="P41" s="450">
        <f>+S41-I41</f>
        <v>2.7999999999999972</v>
      </c>
      <c r="Q41" s="466">
        <f t="shared" si="26"/>
        <v>1005.3</v>
      </c>
      <c r="R41" s="450">
        <v>950</v>
      </c>
      <c r="S41" s="450">
        <v>55.3</v>
      </c>
      <c r="T41" s="450"/>
      <c r="U41" s="448">
        <f t="shared" si="27"/>
        <v>1005.3</v>
      </c>
      <c r="V41" s="448">
        <f t="shared" si="24"/>
        <v>950</v>
      </c>
      <c r="W41" s="448">
        <f t="shared" si="24"/>
        <v>55.3</v>
      </c>
      <c r="X41" s="505"/>
      <c r="Y41" s="450"/>
      <c r="Z41" s="450"/>
      <c r="AA41" s="450"/>
      <c r="AB41" s="484"/>
      <c r="AC41" s="484"/>
      <c r="AD41" s="448">
        <f>+AE41+AF41</f>
        <v>1005.3</v>
      </c>
      <c r="AE41" s="484">
        <v>950</v>
      </c>
      <c r="AF41" s="484">
        <v>55.3</v>
      </c>
      <c r="AG41" s="450"/>
      <c r="AH41" s="484"/>
      <c r="AI41" s="484"/>
      <c r="AJ41" s="450"/>
      <c r="AK41" s="450"/>
      <c r="AL41" s="138"/>
      <c r="AM41" s="370"/>
      <c r="AN41" s="370"/>
      <c r="AO41" s="370"/>
    </row>
    <row r="42" spans="1:41" s="146" customFormat="1" ht="45" hidden="1">
      <c r="A42" s="141">
        <f>+A41+1</f>
        <v>12</v>
      </c>
      <c r="B42" s="325" t="s">
        <v>1110</v>
      </c>
      <c r="C42" s="141" t="s">
        <v>106</v>
      </c>
      <c r="D42" s="141"/>
      <c r="E42" s="141" t="s">
        <v>113</v>
      </c>
      <c r="F42" s="141" t="s">
        <v>55</v>
      </c>
      <c r="G42" s="447">
        <f t="shared" si="17"/>
        <v>1325</v>
      </c>
      <c r="H42" s="447">
        <v>1263</v>
      </c>
      <c r="I42" s="447">
        <v>62</v>
      </c>
      <c r="J42" s="448">
        <v>0</v>
      </c>
      <c r="K42" s="483"/>
      <c r="L42" s="448"/>
      <c r="M42" s="448"/>
      <c r="N42" s="483">
        <f>+O42+P42</f>
        <v>733.01</v>
      </c>
      <c r="O42" s="448">
        <f>+R42-H42</f>
        <v>725.24</v>
      </c>
      <c r="P42" s="448">
        <f>+S42-I42</f>
        <v>7.769999999999996</v>
      </c>
      <c r="Q42" s="501">
        <f t="shared" ref="Q42:Q44" si="33">R42+S42</f>
        <v>2058.0100000000002</v>
      </c>
      <c r="R42" s="481">
        <v>1988.24</v>
      </c>
      <c r="S42" s="481">
        <v>69.77</v>
      </c>
      <c r="T42" s="533"/>
      <c r="U42" s="448">
        <f t="shared" si="27"/>
        <v>0</v>
      </c>
      <c r="V42" s="448">
        <f t="shared" si="24"/>
        <v>0</v>
      </c>
      <c r="W42" s="448">
        <f t="shared" si="24"/>
        <v>0</v>
      </c>
      <c r="X42" s="445">
        <f t="shared" si="10"/>
        <v>0</v>
      </c>
      <c r="Y42" s="448"/>
      <c r="Z42" s="448"/>
      <c r="AA42" s="448"/>
      <c r="AB42" s="483"/>
      <c r="AC42" s="483"/>
      <c r="AD42" s="448"/>
      <c r="AE42" s="483"/>
      <c r="AF42" s="483"/>
      <c r="AG42" s="447">
        <f t="shared" ref="AG42:AG44" si="34">AH42+AI42</f>
        <v>2058.0100000000002</v>
      </c>
      <c r="AH42" s="481">
        <v>1988.24</v>
      </c>
      <c r="AI42" s="481">
        <v>69.77</v>
      </c>
      <c r="AJ42" s="448"/>
      <c r="AK42" s="448"/>
      <c r="AL42" s="145"/>
      <c r="AM42" s="369"/>
      <c r="AN42" s="369"/>
      <c r="AO42" s="369"/>
    </row>
    <row r="43" spans="1:41" s="146" customFormat="1" ht="30" hidden="1">
      <c r="A43" s="141">
        <f t="shared" ref="A43:A44" si="35">+A42+1</f>
        <v>13</v>
      </c>
      <c r="B43" s="325" t="s">
        <v>1112</v>
      </c>
      <c r="C43" s="141" t="s">
        <v>106</v>
      </c>
      <c r="D43" s="141"/>
      <c r="E43" s="141"/>
      <c r="F43" s="141" t="s">
        <v>1111</v>
      </c>
      <c r="G43" s="447">
        <f t="shared" si="17"/>
        <v>460</v>
      </c>
      <c r="H43" s="447">
        <v>437</v>
      </c>
      <c r="I43" s="447">
        <v>23</v>
      </c>
      <c r="J43" s="448"/>
      <c r="K43" s="483">
        <f t="shared" si="25"/>
        <v>0</v>
      </c>
      <c r="L43" s="448"/>
      <c r="M43" s="448"/>
      <c r="N43" s="483"/>
      <c r="O43" s="448"/>
      <c r="P43" s="448"/>
      <c r="Q43" s="501">
        <f t="shared" si="33"/>
        <v>460</v>
      </c>
      <c r="R43" s="481">
        <v>437</v>
      </c>
      <c r="S43" s="481">
        <v>23</v>
      </c>
      <c r="T43" s="533"/>
      <c r="U43" s="448"/>
      <c r="V43" s="448"/>
      <c r="W43" s="448"/>
      <c r="X43" s="445"/>
      <c r="Y43" s="448"/>
      <c r="Z43" s="448"/>
      <c r="AA43" s="448"/>
      <c r="AB43" s="483"/>
      <c r="AC43" s="483"/>
      <c r="AD43" s="448"/>
      <c r="AE43" s="483"/>
      <c r="AF43" s="483"/>
      <c r="AG43" s="447">
        <f t="shared" si="34"/>
        <v>460</v>
      </c>
      <c r="AH43" s="481">
        <v>437</v>
      </c>
      <c r="AI43" s="481">
        <v>23</v>
      </c>
      <c r="AJ43" s="448"/>
      <c r="AK43" s="448"/>
      <c r="AL43" s="145"/>
      <c r="AM43" s="369"/>
      <c r="AN43" s="369"/>
      <c r="AO43" s="369"/>
    </row>
    <row r="44" spans="1:41" s="146" customFormat="1" ht="45" hidden="1">
      <c r="A44" s="141">
        <f t="shared" si="35"/>
        <v>14</v>
      </c>
      <c r="B44" s="325" t="s">
        <v>114</v>
      </c>
      <c r="C44" s="141" t="s">
        <v>115</v>
      </c>
      <c r="D44" s="141"/>
      <c r="E44" s="141" t="s">
        <v>116</v>
      </c>
      <c r="F44" s="141" t="s">
        <v>55</v>
      </c>
      <c r="G44" s="447">
        <f t="shared" si="17"/>
        <v>840</v>
      </c>
      <c r="H44" s="447">
        <v>800</v>
      </c>
      <c r="I44" s="447">
        <v>40</v>
      </c>
      <c r="J44" s="448">
        <v>0</v>
      </c>
      <c r="K44" s="483">
        <f t="shared" si="25"/>
        <v>0</v>
      </c>
      <c r="L44" s="448"/>
      <c r="M44" s="448"/>
      <c r="N44" s="483"/>
      <c r="O44" s="448"/>
      <c r="P44" s="448"/>
      <c r="Q44" s="501">
        <f t="shared" si="33"/>
        <v>840</v>
      </c>
      <c r="R44" s="481">
        <v>800</v>
      </c>
      <c r="S44" s="481">
        <v>40</v>
      </c>
      <c r="T44" s="533"/>
      <c r="U44" s="448">
        <f t="shared" si="27"/>
        <v>0</v>
      </c>
      <c r="V44" s="448">
        <f t="shared" si="24"/>
        <v>0</v>
      </c>
      <c r="W44" s="448">
        <f t="shared" si="24"/>
        <v>0</v>
      </c>
      <c r="X44" s="445">
        <f t="shared" si="10"/>
        <v>0</v>
      </c>
      <c r="Y44" s="448"/>
      <c r="Z44" s="448"/>
      <c r="AA44" s="448"/>
      <c r="AB44" s="483"/>
      <c r="AC44" s="483"/>
      <c r="AD44" s="448"/>
      <c r="AE44" s="483"/>
      <c r="AF44" s="483"/>
      <c r="AG44" s="447">
        <f t="shared" si="34"/>
        <v>840</v>
      </c>
      <c r="AH44" s="481">
        <v>800</v>
      </c>
      <c r="AI44" s="481">
        <v>40</v>
      </c>
      <c r="AJ44" s="448"/>
      <c r="AK44" s="448"/>
      <c r="AL44" s="145"/>
      <c r="AM44" s="369"/>
      <c r="AN44" s="369"/>
      <c r="AO44" s="369"/>
    </row>
    <row r="45" spans="1:41" s="14" customFormat="1" ht="23.25" customHeight="1">
      <c r="A45" s="4" t="s">
        <v>989</v>
      </c>
      <c r="B45" s="507" t="s">
        <v>118</v>
      </c>
      <c r="C45" s="4"/>
      <c r="D45" s="4"/>
      <c r="E45" s="417">
        <v>0</v>
      </c>
      <c r="F45" s="417"/>
      <c r="G45" s="446">
        <f>SUM(G46:G54)</f>
        <v>9025.7000000000007</v>
      </c>
      <c r="H45" s="446">
        <f t="shared" ref="H45:S45" si="36">SUM(H46:H54)</f>
        <v>8595.9000000000015</v>
      </c>
      <c r="I45" s="446">
        <f t="shared" si="36"/>
        <v>429.8</v>
      </c>
      <c r="J45" s="446">
        <f t="shared" si="36"/>
        <v>0</v>
      </c>
      <c r="K45" s="446">
        <f t="shared" si="36"/>
        <v>745.09999999999991</v>
      </c>
      <c r="L45" s="446">
        <f t="shared" si="36"/>
        <v>732.09999999999991</v>
      </c>
      <c r="M45" s="446">
        <f t="shared" si="36"/>
        <v>13</v>
      </c>
      <c r="N45" s="446">
        <f t="shared" si="36"/>
        <v>745.1</v>
      </c>
      <c r="O45" s="446">
        <f t="shared" si="36"/>
        <v>732.1</v>
      </c>
      <c r="P45" s="446">
        <f t="shared" si="36"/>
        <v>12.999999999999996</v>
      </c>
      <c r="Q45" s="446">
        <f t="shared" si="36"/>
        <v>9025.6999999999989</v>
      </c>
      <c r="R45" s="446">
        <f t="shared" si="36"/>
        <v>8595.9</v>
      </c>
      <c r="S45" s="446">
        <f t="shared" si="36"/>
        <v>429.8</v>
      </c>
      <c r="T45" s="446"/>
      <c r="U45" s="446">
        <f t="shared" ref="U45:AK45" si="37">SUM(U46:U53)</f>
        <v>6026.16</v>
      </c>
      <c r="V45" s="446">
        <f t="shared" si="37"/>
        <v>5715</v>
      </c>
      <c r="W45" s="446">
        <f t="shared" si="37"/>
        <v>311.16000000000003</v>
      </c>
      <c r="X45" s="446">
        <f t="shared" si="37"/>
        <v>1624.46</v>
      </c>
      <c r="Y45" s="446">
        <f t="shared" si="37"/>
        <v>1547.1</v>
      </c>
      <c r="Z45" s="446">
        <f t="shared" si="37"/>
        <v>77.36</v>
      </c>
      <c r="AA45" s="446">
        <f t="shared" si="37"/>
        <v>2186</v>
      </c>
      <c r="AB45" s="482">
        <f t="shared" si="37"/>
        <v>2074</v>
      </c>
      <c r="AC45" s="482">
        <f t="shared" si="37"/>
        <v>112</v>
      </c>
      <c r="AD45" s="446">
        <f t="shared" si="37"/>
        <v>2215.7000000000003</v>
      </c>
      <c r="AE45" s="482">
        <f t="shared" si="37"/>
        <v>2093.9</v>
      </c>
      <c r="AF45" s="482">
        <f t="shared" si="37"/>
        <v>121.8</v>
      </c>
      <c r="AG45" s="446">
        <f>SUM(AG46:AG54)</f>
        <v>2999.54</v>
      </c>
      <c r="AH45" s="446">
        <f t="shared" ref="AH45:AI45" si="38">SUM(AH46:AH54)</f>
        <v>2880.9</v>
      </c>
      <c r="AI45" s="446">
        <f t="shared" si="38"/>
        <v>118.64</v>
      </c>
      <c r="AJ45" s="446"/>
      <c r="AK45" s="446">
        <f t="shared" si="37"/>
        <v>0</v>
      </c>
      <c r="AL45" s="16"/>
      <c r="AM45" s="368">
        <f>+'NĂM 2022'!K30+'NĂM 2023'!N30+'NĂM 2024'!J31+'NĂM 2025'!J30</f>
        <v>9025.7000000000007</v>
      </c>
      <c r="AN45" s="368">
        <f>+'NĂM 2022'!L30+'NĂM 2023'!O30+'NĂM 2024'!K31+'NĂM 2025'!K30</f>
        <v>8595.9000000000015</v>
      </c>
      <c r="AO45" s="368">
        <f>+'NĂM 2022'!M30+'NĂM 2023'!P30+'NĂM 2024'!L31+'NĂM 2025'!L30</f>
        <v>429.8</v>
      </c>
    </row>
    <row r="46" spans="1:41" s="146" customFormat="1" ht="75" hidden="1">
      <c r="A46" s="141">
        <v>1</v>
      </c>
      <c r="B46" s="325" t="s">
        <v>119</v>
      </c>
      <c r="C46" s="141" t="s">
        <v>120</v>
      </c>
      <c r="D46" s="141"/>
      <c r="E46" s="141" t="s">
        <v>94</v>
      </c>
      <c r="F46" s="141" t="s">
        <v>52</v>
      </c>
      <c r="G46" s="447">
        <f t="shared" si="17"/>
        <v>367.5</v>
      </c>
      <c r="H46" s="447">
        <v>350</v>
      </c>
      <c r="I46" s="447">
        <v>17.5</v>
      </c>
      <c r="J46" s="448">
        <v>0</v>
      </c>
      <c r="K46" s="483"/>
      <c r="L46" s="448"/>
      <c r="M46" s="448"/>
      <c r="N46" s="483"/>
      <c r="O46" s="448"/>
      <c r="P46" s="448"/>
      <c r="Q46" s="448">
        <f>+R46+S46</f>
        <v>367.5</v>
      </c>
      <c r="R46" s="448">
        <v>350</v>
      </c>
      <c r="S46" s="448">
        <v>17.5</v>
      </c>
      <c r="T46" s="448"/>
      <c r="U46" s="448">
        <f>+V46+W46</f>
        <v>367.5</v>
      </c>
      <c r="V46" s="448">
        <f>+Y46+AB46+AE46</f>
        <v>350</v>
      </c>
      <c r="W46" s="448">
        <f>+Z46+AC46+AF46</f>
        <v>17.5</v>
      </c>
      <c r="X46" s="445">
        <f t="shared" si="10"/>
        <v>367.5</v>
      </c>
      <c r="Y46" s="447">
        <v>350</v>
      </c>
      <c r="Z46" s="447">
        <v>17.5</v>
      </c>
      <c r="AA46" s="447"/>
      <c r="AB46" s="481"/>
      <c r="AC46" s="481"/>
      <c r="AD46" s="447"/>
      <c r="AE46" s="481"/>
      <c r="AF46" s="481"/>
      <c r="AG46" s="447"/>
      <c r="AH46" s="481"/>
      <c r="AI46" s="481"/>
      <c r="AJ46" s="447"/>
      <c r="AK46" s="448"/>
      <c r="AL46" s="145"/>
      <c r="AM46" s="369">
        <f>+G45-U45</f>
        <v>2999.5400000000009</v>
      </c>
      <c r="AN46" s="369">
        <f>+H45-V45</f>
        <v>2880.9000000000015</v>
      </c>
      <c r="AO46" s="369">
        <f>+I45-W45</f>
        <v>118.63999999999999</v>
      </c>
    </row>
    <row r="47" spans="1:41" s="146" customFormat="1" ht="75" hidden="1">
      <c r="A47" s="141">
        <f>+A46+1</f>
        <v>2</v>
      </c>
      <c r="B47" s="325" t="s">
        <v>121</v>
      </c>
      <c r="C47" s="141" t="s">
        <v>122</v>
      </c>
      <c r="D47" s="141"/>
      <c r="E47" s="141" t="s">
        <v>94</v>
      </c>
      <c r="F47" s="141" t="s">
        <v>52</v>
      </c>
      <c r="G47" s="447">
        <f t="shared" si="17"/>
        <v>367.5</v>
      </c>
      <c r="H47" s="447">
        <v>350</v>
      </c>
      <c r="I47" s="447">
        <v>17.5</v>
      </c>
      <c r="J47" s="448">
        <v>0</v>
      </c>
      <c r="K47" s="483"/>
      <c r="L47" s="448"/>
      <c r="M47" s="448"/>
      <c r="N47" s="483"/>
      <c r="O47" s="448"/>
      <c r="P47" s="448"/>
      <c r="Q47" s="448">
        <f t="shared" ref="Q47:Q51" si="39">+R47+S47</f>
        <v>367.5</v>
      </c>
      <c r="R47" s="448">
        <v>350</v>
      </c>
      <c r="S47" s="448">
        <v>17.5</v>
      </c>
      <c r="T47" s="448"/>
      <c r="U47" s="448">
        <f t="shared" ref="U47:U53" si="40">+V47+W47</f>
        <v>367.5</v>
      </c>
      <c r="V47" s="448">
        <f t="shared" ref="V47:W53" si="41">+Y47+AB47+AE47</f>
        <v>350</v>
      </c>
      <c r="W47" s="448">
        <f t="shared" si="41"/>
        <v>17.5</v>
      </c>
      <c r="X47" s="445">
        <f t="shared" si="10"/>
        <v>367.5</v>
      </c>
      <c r="Y47" s="447">
        <v>350</v>
      </c>
      <c r="Z47" s="447">
        <v>17.5</v>
      </c>
      <c r="AA47" s="447"/>
      <c r="AB47" s="481"/>
      <c r="AC47" s="481"/>
      <c r="AD47" s="447"/>
      <c r="AE47" s="481"/>
      <c r="AF47" s="481"/>
      <c r="AG47" s="447"/>
      <c r="AH47" s="481"/>
      <c r="AI47" s="481"/>
      <c r="AJ47" s="447"/>
      <c r="AK47" s="448"/>
      <c r="AL47" s="145"/>
      <c r="AM47" s="465">
        <f>+AM46-AG45</f>
        <v>0</v>
      </c>
      <c r="AN47" s="465">
        <f t="shared" ref="AN47:AO47" si="42">+AN46-AH45</f>
        <v>0</v>
      </c>
      <c r="AO47" s="369">
        <f t="shared" si="42"/>
        <v>0</v>
      </c>
    </row>
    <row r="48" spans="1:41" s="146" customFormat="1" ht="75" hidden="1">
      <c r="A48" s="141">
        <f t="shared" ref="A48:A54" si="43">+A47+1</f>
        <v>3</v>
      </c>
      <c r="B48" s="325" t="s">
        <v>123</v>
      </c>
      <c r="C48" s="141" t="s">
        <v>124</v>
      </c>
      <c r="D48" s="141"/>
      <c r="E48" s="141" t="s">
        <v>125</v>
      </c>
      <c r="F48" s="141" t="s">
        <v>52</v>
      </c>
      <c r="G48" s="447">
        <f t="shared" si="17"/>
        <v>367.5</v>
      </c>
      <c r="H48" s="447">
        <v>350</v>
      </c>
      <c r="I48" s="447">
        <v>17.5</v>
      </c>
      <c r="J48" s="448">
        <v>0</v>
      </c>
      <c r="K48" s="483"/>
      <c r="L48" s="448"/>
      <c r="M48" s="448"/>
      <c r="N48" s="483"/>
      <c r="O48" s="448"/>
      <c r="P48" s="448"/>
      <c r="Q48" s="448">
        <f t="shared" si="39"/>
        <v>367.5</v>
      </c>
      <c r="R48" s="448">
        <v>350</v>
      </c>
      <c r="S48" s="448">
        <v>17.5</v>
      </c>
      <c r="T48" s="448"/>
      <c r="U48" s="448">
        <f t="shared" si="40"/>
        <v>367.5</v>
      </c>
      <c r="V48" s="448">
        <f t="shared" si="41"/>
        <v>350</v>
      </c>
      <c r="W48" s="448">
        <f t="shared" si="41"/>
        <v>17.5</v>
      </c>
      <c r="X48" s="445">
        <f t="shared" si="10"/>
        <v>367.5</v>
      </c>
      <c r="Y48" s="447">
        <v>350</v>
      </c>
      <c r="Z48" s="447">
        <v>17.5</v>
      </c>
      <c r="AA48" s="447"/>
      <c r="AB48" s="481"/>
      <c r="AC48" s="481"/>
      <c r="AD48" s="447"/>
      <c r="AE48" s="481"/>
      <c r="AF48" s="481"/>
      <c r="AG48" s="447"/>
      <c r="AH48" s="481"/>
      <c r="AI48" s="481"/>
      <c r="AJ48" s="447"/>
      <c r="AK48" s="448"/>
      <c r="AL48" s="145"/>
      <c r="AM48" s="369"/>
      <c r="AN48" s="369"/>
      <c r="AO48" s="369"/>
    </row>
    <row r="49" spans="1:41" s="146" customFormat="1" ht="75" hidden="1">
      <c r="A49" s="141">
        <f t="shared" si="43"/>
        <v>4</v>
      </c>
      <c r="B49" s="325" t="s">
        <v>126</v>
      </c>
      <c r="C49" s="141" t="s">
        <v>127</v>
      </c>
      <c r="D49" s="141"/>
      <c r="E49" s="141" t="s">
        <v>128</v>
      </c>
      <c r="F49" s="141" t="s">
        <v>52</v>
      </c>
      <c r="G49" s="447">
        <f>H49+I49</f>
        <v>521.96</v>
      </c>
      <c r="H49" s="447">
        <v>497.1</v>
      </c>
      <c r="I49" s="447">
        <v>24.86</v>
      </c>
      <c r="J49" s="448">
        <v>0</v>
      </c>
      <c r="K49" s="483"/>
      <c r="L49" s="448"/>
      <c r="M49" s="448"/>
      <c r="N49" s="483"/>
      <c r="O49" s="448"/>
      <c r="P49" s="448"/>
      <c r="Q49" s="448">
        <f t="shared" si="39"/>
        <v>521.96</v>
      </c>
      <c r="R49" s="448">
        <v>497.1</v>
      </c>
      <c r="S49" s="448">
        <v>24.86</v>
      </c>
      <c r="T49" s="448"/>
      <c r="U49" s="448">
        <f t="shared" si="40"/>
        <v>521.96</v>
      </c>
      <c r="V49" s="448">
        <f t="shared" si="41"/>
        <v>497.1</v>
      </c>
      <c r="W49" s="448">
        <f t="shared" si="41"/>
        <v>24.86</v>
      </c>
      <c r="X49" s="445">
        <f t="shared" si="10"/>
        <v>521.96</v>
      </c>
      <c r="Y49" s="447">
        <v>497.1</v>
      </c>
      <c r="Z49" s="447">
        <v>24.86</v>
      </c>
      <c r="AA49" s="447"/>
      <c r="AB49" s="481"/>
      <c r="AC49" s="481"/>
      <c r="AD49" s="447"/>
      <c r="AE49" s="481"/>
      <c r="AF49" s="481"/>
      <c r="AG49" s="447"/>
      <c r="AH49" s="481"/>
      <c r="AI49" s="481"/>
      <c r="AJ49" s="447"/>
      <c r="AK49" s="448"/>
      <c r="AL49" s="145"/>
      <c r="AM49" s="369"/>
      <c r="AN49" s="369"/>
      <c r="AO49" s="369"/>
    </row>
    <row r="50" spans="1:41" s="146" customFormat="1" ht="75" hidden="1">
      <c r="A50" s="141">
        <f t="shared" si="43"/>
        <v>5</v>
      </c>
      <c r="B50" s="325" t="s">
        <v>129</v>
      </c>
      <c r="C50" s="141" t="s">
        <v>127</v>
      </c>
      <c r="D50" s="141"/>
      <c r="E50" s="141" t="s">
        <v>130</v>
      </c>
      <c r="F50" s="141" t="s">
        <v>53</v>
      </c>
      <c r="G50" s="447">
        <f t="shared" si="17"/>
        <v>2625</v>
      </c>
      <c r="H50" s="447">
        <v>2500</v>
      </c>
      <c r="I50" s="447">
        <v>125</v>
      </c>
      <c r="J50" s="448">
        <v>0</v>
      </c>
      <c r="K50" s="483">
        <f>+L50+M50</f>
        <v>439</v>
      </c>
      <c r="L50" s="448">
        <f>+H50-R50</f>
        <v>426</v>
      </c>
      <c r="M50" s="448">
        <f>+I50-S50</f>
        <v>13</v>
      </c>
      <c r="N50" s="483"/>
      <c r="O50" s="448"/>
      <c r="P50" s="448"/>
      <c r="Q50" s="448">
        <f t="shared" si="39"/>
        <v>2186</v>
      </c>
      <c r="R50" s="448">
        <v>2074</v>
      </c>
      <c r="S50" s="448">
        <v>112</v>
      </c>
      <c r="T50" s="448"/>
      <c r="U50" s="448">
        <f t="shared" si="40"/>
        <v>2186</v>
      </c>
      <c r="V50" s="448">
        <f t="shared" si="41"/>
        <v>2074</v>
      </c>
      <c r="W50" s="448">
        <f t="shared" si="41"/>
        <v>112</v>
      </c>
      <c r="X50" s="445">
        <f t="shared" si="10"/>
        <v>0</v>
      </c>
      <c r="Y50" s="448"/>
      <c r="Z50" s="448"/>
      <c r="AA50" s="448">
        <f>+AB50+AC50</f>
        <v>2186</v>
      </c>
      <c r="AB50" s="483">
        <v>2074</v>
      </c>
      <c r="AC50" s="483">
        <v>112</v>
      </c>
      <c r="AD50" s="448"/>
      <c r="AE50" s="483"/>
      <c r="AF50" s="483"/>
      <c r="AG50" s="448"/>
      <c r="AH50" s="483"/>
      <c r="AI50" s="483"/>
      <c r="AJ50" s="448"/>
      <c r="AK50" s="448"/>
      <c r="AL50" s="145"/>
      <c r="AM50" s="369"/>
      <c r="AN50" s="369"/>
      <c r="AO50" s="369"/>
    </row>
    <row r="51" spans="1:41" s="146" customFormat="1" ht="75" hidden="1">
      <c r="A51" s="141">
        <f t="shared" si="43"/>
        <v>6</v>
      </c>
      <c r="B51" s="325" t="s">
        <v>131</v>
      </c>
      <c r="C51" s="141" t="s">
        <v>132</v>
      </c>
      <c r="D51" s="141"/>
      <c r="E51" s="141" t="s">
        <v>130</v>
      </c>
      <c r="F51" s="141" t="s">
        <v>54</v>
      </c>
      <c r="G51" s="447">
        <f t="shared" si="17"/>
        <v>2520</v>
      </c>
      <c r="H51" s="447">
        <v>2400</v>
      </c>
      <c r="I51" s="447">
        <v>120</v>
      </c>
      <c r="J51" s="448">
        <v>0</v>
      </c>
      <c r="K51" s="483">
        <f>+L51+M51</f>
        <v>306.09999999999991</v>
      </c>
      <c r="L51" s="448">
        <f>+H51-R51</f>
        <v>306.09999999999991</v>
      </c>
      <c r="M51" s="448"/>
      <c r="N51" s="483">
        <f>+O51+P51</f>
        <v>1.7999999999999972</v>
      </c>
      <c r="O51" s="448"/>
      <c r="P51" s="448">
        <f>+S51-I51</f>
        <v>1.7999999999999972</v>
      </c>
      <c r="Q51" s="448">
        <f t="shared" si="39"/>
        <v>2215.7000000000003</v>
      </c>
      <c r="R51" s="448">
        <v>2093.9</v>
      </c>
      <c r="S51" s="448">
        <v>121.8</v>
      </c>
      <c r="T51" s="448"/>
      <c r="U51" s="448">
        <f t="shared" si="40"/>
        <v>2215.7000000000003</v>
      </c>
      <c r="V51" s="448">
        <f t="shared" si="41"/>
        <v>2093.9</v>
      </c>
      <c r="W51" s="448">
        <f t="shared" si="41"/>
        <v>121.8</v>
      </c>
      <c r="X51" s="445">
        <f t="shared" si="10"/>
        <v>0</v>
      </c>
      <c r="Y51" s="448"/>
      <c r="Z51" s="448"/>
      <c r="AA51" s="448"/>
      <c r="AB51" s="483"/>
      <c r="AC51" s="483"/>
      <c r="AD51" s="448">
        <f>+AE51+AF51</f>
        <v>2215.7000000000003</v>
      </c>
      <c r="AE51" s="483">
        <v>2093.9</v>
      </c>
      <c r="AF51" s="483">
        <v>121.8</v>
      </c>
      <c r="AG51" s="448"/>
      <c r="AH51" s="483"/>
      <c r="AI51" s="483"/>
      <c r="AJ51" s="448"/>
      <c r="AK51" s="448"/>
      <c r="AL51" s="145"/>
      <c r="AM51" s="369"/>
      <c r="AN51" s="369"/>
      <c r="AO51" s="369"/>
    </row>
    <row r="52" spans="1:41" s="146" customFormat="1" ht="75" hidden="1">
      <c r="A52" s="141">
        <f t="shared" si="43"/>
        <v>7</v>
      </c>
      <c r="B52" s="325" t="s">
        <v>133</v>
      </c>
      <c r="C52" s="141" t="s">
        <v>134</v>
      </c>
      <c r="D52" s="141"/>
      <c r="E52" s="141" t="s">
        <v>128</v>
      </c>
      <c r="F52" s="141" t="s">
        <v>55</v>
      </c>
      <c r="G52" s="447">
        <f t="shared" si="17"/>
        <v>1626.24</v>
      </c>
      <c r="H52" s="447">
        <v>1548.8</v>
      </c>
      <c r="I52" s="447">
        <v>77.44</v>
      </c>
      <c r="J52" s="448">
        <v>0</v>
      </c>
      <c r="K52" s="483"/>
      <c r="L52" s="448"/>
      <c r="M52" s="448"/>
      <c r="N52" s="483">
        <f t="shared" ref="N52:N53" si="44">+O52+P52</f>
        <v>0</v>
      </c>
      <c r="O52" s="448"/>
      <c r="P52" s="448"/>
      <c r="Q52" s="447">
        <f t="shared" ref="Q52:Q54" si="45">R52+S52</f>
        <v>1626.24</v>
      </c>
      <c r="R52" s="481">
        <v>1548.8</v>
      </c>
      <c r="S52" s="481">
        <v>77.44</v>
      </c>
      <c r="T52" s="448"/>
      <c r="U52" s="448">
        <f t="shared" si="40"/>
        <v>0</v>
      </c>
      <c r="V52" s="448">
        <f t="shared" ref="V52:V53" si="46">+Y52+AB52+AD52</f>
        <v>0</v>
      </c>
      <c r="W52" s="448">
        <f t="shared" si="41"/>
        <v>0</v>
      </c>
      <c r="X52" s="445">
        <f t="shared" si="10"/>
        <v>0</v>
      </c>
      <c r="Y52" s="448"/>
      <c r="Z52" s="448"/>
      <c r="AA52" s="448"/>
      <c r="AB52" s="483"/>
      <c r="AC52" s="483"/>
      <c r="AD52" s="448"/>
      <c r="AE52" s="483"/>
      <c r="AF52" s="483"/>
      <c r="AG52" s="447">
        <f t="shared" ref="AG52:AG54" si="47">AH52+AI52</f>
        <v>1626.24</v>
      </c>
      <c r="AH52" s="481">
        <v>1548.8</v>
      </c>
      <c r="AI52" s="481">
        <v>77.44</v>
      </c>
      <c r="AJ52" s="448"/>
      <c r="AK52" s="448"/>
      <c r="AL52" s="145"/>
      <c r="AM52" s="369"/>
      <c r="AN52" s="369"/>
      <c r="AO52" s="369"/>
    </row>
    <row r="53" spans="1:41" s="146" customFormat="1" ht="30" hidden="1">
      <c r="A53" s="141">
        <f t="shared" si="43"/>
        <v>8</v>
      </c>
      <c r="B53" s="325" t="s">
        <v>135</v>
      </c>
      <c r="C53" s="141" t="s">
        <v>134</v>
      </c>
      <c r="D53" s="141"/>
      <c r="E53" s="141" t="s">
        <v>136</v>
      </c>
      <c r="F53" s="141" t="s">
        <v>55</v>
      </c>
      <c r="G53" s="447">
        <f t="shared" si="17"/>
        <v>630</v>
      </c>
      <c r="H53" s="447">
        <v>600</v>
      </c>
      <c r="I53" s="447">
        <v>30</v>
      </c>
      <c r="J53" s="448">
        <v>0</v>
      </c>
      <c r="K53" s="483"/>
      <c r="L53" s="448"/>
      <c r="M53" s="448"/>
      <c r="N53" s="483">
        <f t="shared" si="44"/>
        <v>0</v>
      </c>
      <c r="O53" s="448"/>
      <c r="P53" s="448"/>
      <c r="Q53" s="447">
        <f t="shared" si="45"/>
        <v>630</v>
      </c>
      <c r="R53" s="481">
        <v>600</v>
      </c>
      <c r="S53" s="481">
        <v>30</v>
      </c>
      <c r="T53" s="448"/>
      <c r="U53" s="448">
        <f t="shared" si="40"/>
        <v>0</v>
      </c>
      <c r="V53" s="448">
        <f t="shared" si="46"/>
        <v>0</v>
      </c>
      <c r="W53" s="448">
        <f t="shared" si="41"/>
        <v>0</v>
      </c>
      <c r="X53" s="445">
        <f t="shared" si="10"/>
        <v>0</v>
      </c>
      <c r="Y53" s="448"/>
      <c r="Z53" s="448"/>
      <c r="AA53" s="448"/>
      <c r="AB53" s="483"/>
      <c r="AC53" s="483"/>
      <c r="AD53" s="448"/>
      <c r="AE53" s="483"/>
      <c r="AF53" s="483"/>
      <c r="AG53" s="447">
        <f t="shared" si="47"/>
        <v>630</v>
      </c>
      <c r="AH53" s="481">
        <v>600</v>
      </c>
      <c r="AI53" s="481">
        <v>30</v>
      </c>
      <c r="AJ53" s="448"/>
      <c r="AK53" s="448"/>
      <c r="AL53" s="145"/>
      <c r="AM53" s="369"/>
      <c r="AN53" s="369"/>
      <c r="AO53" s="369"/>
    </row>
    <row r="54" spans="1:41" s="146" customFormat="1" ht="45" hidden="1">
      <c r="A54" s="141">
        <f t="shared" si="43"/>
        <v>9</v>
      </c>
      <c r="B54" s="325" t="s">
        <v>1168</v>
      </c>
      <c r="C54" s="141" t="s">
        <v>134</v>
      </c>
      <c r="D54" s="141"/>
      <c r="E54" s="141" t="s">
        <v>136</v>
      </c>
      <c r="F54" s="141" t="s">
        <v>55</v>
      </c>
      <c r="G54" s="447"/>
      <c r="H54" s="447"/>
      <c r="I54" s="447"/>
      <c r="J54" s="448"/>
      <c r="K54" s="483"/>
      <c r="L54" s="448"/>
      <c r="M54" s="448"/>
      <c r="N54" s="447">
        <f t="shared" ref="N54" si="48">O54+P54</f>
        <v>743.30000000000007</v>
      </c>
      <c r="O54" s="481">
        <v>732.1</v>
      </c>
      <c r="P54" s="481">
        <v>11.2</v>
      </c>
      <c r="Q54" s="447">
        <f t="shared" si="45"/>
        <v>743.30000000000007</v>
      </c>
      <c r="R54" s="481">
        <v>732.1</v>
      </c>
      <c r="S54" s="481">
        <v>11.2</v>
      </c>
      <c r="T54" s="533" t="s">
        <v>1166</v>
      </c>
      <c r="U54" s="448"/>
      <c r="V54" s="448"/>
      <c r="W54" s="448"/>
      <c r="X54" s="445"/>
      <c r="Y54" s="448"/>
      <c r="Z54" s="448"/>
      <c r="AA54" s="448"/>
      <c r="AB54" s="483"/>
      <c r="AC54" s="483"/>
      <c r="AD54" s="448"/>
      <c r="AE54" s="483"/>
      <c r="AF54" s="483"/>
      <c r="AG54" s="447">
        <f t="shared" si="47"/>
        <v>743.30000000000007</v>
      </c>
      <c r="AH54" s="481">
        <v>732.1</v>
      </c>
      <c r="AI54" s="481">
        <v>11.2</v>
      </c>
      <c r="AJ54" s="448"/>
      <c r="AK54" s="448"/>
      <c r="AL54" s="145"/>
      <c r="AM54" s="369"/>
      <c r="AN54" s="369"/>
      <c r="AO54" s="369"/>
    </row>
    <row r="55" spans="1:41" s="18" customFormat="1" ht="23.25" customHeight="1">
      <c r="A55" s="4" t="s">
        <v>990</v>
      </c>
      <c r="B55" s="507" t="s">
        <v>138</v>
      </c>
      <c r="C55" s="418"/>
      <c r="D55" s="418"/>
      <c r="E55" s="417">
        <v>0</v>
      </c>
      <c r="F55" s="417"/>
      <c r="G55" s="446">
        <f t="shared" ref="G55:W55" si="49">SUM(G56:G67)</f>
        <v>11111.36</v>
      </c>
      <c r="H55" s="446">
        <f t="shared" si="49"/>
        <v>10582.15</v>
      </c>
      <c r="I55" s="446">
        <f t="shared" si="49"/>
        <v>529.21</v>
      </c>
      <c r="J55" s="446">
        <f t="shared" si="49"/>
        <v>0</v>
      </c>
      <c r="K55" s="446">
        <f t="shared" si="49"/>
        <v>2417.63</v>
      </c>
      <c r="L55" s="446">
        <f t="shared" si="49"/>
        <v>2289.8300000000004</v>
      </c>
      <c r="M55" s="446">
        <f t="shared" si="49"/>
        <v>127.80000000000001</v>
      </c>
      <c r="N55" s="446">
        <f t="shared" si="49"/>
        <v>2417.63</v>
      </c>
      <c r="O55" s="446">
        <f t="shared" si="49"/>
        <v>2289.83</v>
      </c>
      <c r="P55" s="446">
        <f t="shared" si="49"/>
        <v>127.8</v>
      </c>
      <c r="Q55" s="446">
        <f t="shared" si="49"/>
        <v>11111.36</v>
      </c>
      <c r="R55" s="446">
        <f t="shared" si="49"/>
        <v>10582.150000000001</v>
      </c>
      <c r="S55" s="446">
        <f t="shared" si="49"/>
        <v>529.21</v>
      </c>
      <c r="T55" s="446">
        <f t="shared" si="49"/>
        <v>0</v>
      </c>
      <c r="U55" s="446">
        <f t="shared" si="49"/>
        <v>7424.9499999999989</v>
      </c>
      <c r="V55" s="446">
        <f t="shared" si="49"/>
        <v>7041.3200000000006</v>
      </c>
      <c r="W55" s="446">
        <f t="shared" si="49"/>
        <v>383.62999999999994</v>
      </c>
      <c r="X55" s="446">
        <f t="shared" ref="X55:AF55" si="50">SUM(X56:X62)</f>
        <v>2003.6999999999998</v>
      </c>
      <c r="Y55" s="446">
        <f t="shared" si="50"/>
        <v>1908.12</v>
      </c>
      <c r="Z55" s="446">
        <f t="shared" si="50"/>
        <v>95.58</v>
      </c>
      <c r="AA55" s="446">
        <f t="shared" si="50"/>
        <v>2692.35</v>
      </c>
      <c r="AB55" s="446">
        <f t="shared" si="50"/>
        <v>2554.4</v>
      </c>
      <c r="AC55" s="446">
        <f t="shared" si="50"/>
        <v>137.94999999999999</v>
      </c>
      <c r="AD55" s="446">
        <f t="shared" si="50"/>
        <v>1106</v>
      </c>
      <c r="AE55" s="446">
        <f t="shared" si="50"/>
        <v>1045.0999999999999</v>
      </c>
      <c r="AF55" s="446">
        <f t="shared" si="50"/>
        <v>60.9</v>
      </c>
      <c r="AG55" s="446">
        <f>SUM(AG56:AG67)</f>
        <v>3686.41</v>
      </c>
      <c r="AH55" s="446">
        <f>SUM(AH56:AH67)</f>
        <v>3540.83</v>
      </c>
      <c r="AI55" s="446">
        <f>SUM(AI56:AI67)</f>
        <v>145.57999999999998</v>
      </c>
      <c r="AJ55" s="446"/>
      <c r="AK55" s="446">
        <f>SUM(AK56:AK62)</f>
        <v>0</v>
      </c>
      <c r="AL55" s="16"/>
      <c r="AM55" s="371">
        <f>+'NĂM 2022'!K35+'NĂM 2023'!N32+'NĂM 2024'!J33+'NĂM 2025'!J33</f>
        <v>11111.359999999999</v>
      </c>
      <c r="AN55" s="371">
        <f>+'NĂM 2022'!L35+'NĂM 2023'!O32+'NĂM 2024'!K33+'NĂM 2025'!K33</f>
        <v>10582.15</v>
      </c>
      <c r="AO55" s="371">
        <f>+'NĂM 2022'!M35+'NĂM 2023'!P32+'NĂM 2024'!L33+'NĂM 2025'!L33</f>
        <v>529.21</v>
      </c>
    </row>
    <row r="56" spans="1:41" ht="45" hidden="1">
      <c r="A56" s="8">
        <v>1</v>
      </c>
      <c r="B56" s="328" t="s">
        <v>139</v>
      </c>
      <c r="C56" s="8" t="s">
        <v>140</v>
      </c>
      <c r="D56" s="8"/>
      <c r="E56" s="22" t="s">
        <v>141</v>
      </c>
      <c r="F56" s="8" t="s">
        <v>52</v>
      </c>
      <c r="G56" s="445">
        <f>H56+I56</f>
        <v>735</v>
      </c>
      <c r="H56" s="445">
        <v>700</v>
      </c>
      <c r="I56" s="445">
        <v>35</v>
      </c>
      <c r="J56" s="451">
        <v>0</v>
      </c>
      <c r="K56" s="483"/>
      <c r="L56" s="451"/>
      <c r="M56" s="451"/>
      <c r="N56" s="483"/>
      <c r="O56" s="451"/>
      <c r="P56" s="451"/>
      <c r="Q56" s="466">
        <f>+R56+S56</f>
        <v>735</v>
      </c>
      <c r="R56" s="451">
        <v>700</v>
      </c>
      <c r="S56" s="451">
        <v>35</v>
      </c>
      <c r="T56" s="451"/>
      <c r="U56" s="451">
        <f>+V56+W56</f>
        <v>735</v>
      </c>
      <c r="V56" s="451">
        <f>+Y56+AB56+AE56</f>
        <v>700</v>
      </c>
      <c r="W56" s="451">
        <f>+Z56+AC56+AF56</f>
        <v>35</v>
      </c>
      <c r="X56" s="445">
        <f>Y56+Z56</f>
        <v>735</v>
      </c>
      <c r="Y56" s="445">
        <v>700</v>
      </c>
      <c r="Z56" s="445">
        <v>35</v>
      </c>
      <c r="AA56" s="445"/>
      <c r="AB56" s="481"/>
      <c r="AC56" s="481"/>
      <c r="AD56" s="445"/>
      <c r="AE56" s="481"/>
      <c r="AF56" s="481"/>
      <c r="AG56" s="445"/>
      <c r="AH56" s="481"/>
      <c r="AI56" s="481"/>
      <c r="AJ56" s="445"/>
      <c r="AK56" s="451"/>
      <c r="AL56" s="15"/>
      <c r="AM56" s="506">
        <f>+G55-U55</f>
        <v>3686.4100000000017</v>
      </c>
      <c r="AN56" s="506">
        <f>+H55-V55</f>
        <v>3540.829999999999</v>
      </c>
      <c r="AO56" s="506">
        <f>+I55-W55</f>
        <v>145.5800000000001</v>
      </c>
    </row>
    <row r="57" spans="1:41" s="146" customFormat="1" ht="45" hidden="1">
      <c r="A57" s="141">
        <f>+A56+1</f>
        <v>2</v>
      </c>
      <c r="B57" s="325" t="s">
        <v>827</v>
      </c>
      <c r="C57" s="141" t="s">
        <v>140</v>
      </c>
      <c r="D57" s="141"/>
      <c r="E57" s="22" t="s">
        <v>142</v>
      </c>
      <c r="F57" s="141" t="s">
        <v>52</v>
      </c>
      <c r="G57" s="445">
        <f t="shared" si="17"/>
        <v>331.8</v>
      </c>
      <c r="H57" s="445">
        <v>316</v>
      </c>
      <c r="I57" s="445">
        <v>15.8</v>
      </c>
      <c r="J57" s="448">
        <v>0</v>
      </c>
      <c r="K57" s="483"/>
      <c r="L57" s="448"/>
      <c r="M57" s="448"/>
      <c r="N57" s="483"/>
      <c r="O57" s="448"/>
      <c r="P57" s="448"/>
      <c r="Q57" s="466">
        <f t="shared" ref="Q57:Q62" si="51">+R57+S57</f>
        <v>331.8</v>
      </c>
      <c r="R57" s="448">
        <v>316</v>
      </c>
      <c r="S57" s="448">
        <v>15.8</v>
      </c>
      <c r="T57" s="448"/>
      <c r="U57" s="451">
        <f t="shared" ref="U57:U63" si="52">+V57+W57</f>
        <v>331.8</v>
      </c>
      <c r="V57" s="451">
        <f t="shared" ref="V57:W63" si="53">+Y57+AB57+AE57</f>
        <v>316</v>
      </c>
      <c r="W57" s="451">
        <f t="shared" si="53"/>
        <v>15.8</v>
      </c>
      <c r="X57" s="445">
        <f t="shared" si="10"/>
        <v>331.8</v>
      </c>
      <c r="Y57" s="445">
        <v>316</v>
      </c>
      <c r="Z57" s="445">
        <v>15.8</v>
      </c>
      <c r="AA57" s="445"/>
      <c r="AB57" s="481"/>
      <c r="AC57" s="481"/>
      <c r="AD57" s="445"/>
      <c r="AE57" s="481"/>
      <c r="AF57" s="481"/>
      <c r="AG57" s="445"/>
      <c r="AH57" s="481"/>
      <c r="AI57" s="481"/>
      <c r="AJ57" s="445"/>
      <c r="AK57" s="448"/>
      <c r="AL57" s="145"/>
      <c r="AM57" s="471">
        <f>+AM56-AG55</f>
        <v>0</v>
      </c>
      <c r="AN57" s="471">
        <f t="shared" ref="AN57:AO57" si="54">+AN56-AH55</f>
        <v>0</v>
      </c>
      <c r="AO57" s="471">
        <f t="shared" si="54"/>
        <v>0</v>
      </c>
    </row>
    <row r="58" spans="1:41" ht="30" hidden="1">
      <c r="A58" s="141">
        <f t="shared" ref="A58:A67" si="55">+A57+1</f>
        <v>3</v>
      </c>
      <c r="B58" s="325" t="s">
        <v>143</v>
      </c>
      <c r="C58" s="141" t="s">
        <v>140</v>
      </c>
      <c r="D58" s="8"/>
      <c r="E58" s="8" t="s">
        <v>828</v>
      </c>
      <c r="F58" s="141" t="s">
        <v>52</v>
      </c>
      <c r="G58" s="445">
        <f>H58+I58</f>
        <v>936.9</v>
      </c>
      <c r="H58" s="445">
        <v>892.12</v>
      </c>
      <c r="I58" s="445">
        <v>44.78</v>
      </c>
      <c r="J58" s="451">
        <v>0</v>
      </c>
      <c r="K58" s="483"/>
      <c r="L58" s="451"/>
      <c r="M58" s="451"/>
      <c r="N58" s="483"/>
      <c r="O58" s="451"/>
      <c r="P58" s="451"/>
      <c r="Q58" s="466">
        <f t="shared" si="51"/>
        <v>936.9</v>
      </c>
      <c r="R58" s="451">
        <v>892.12</v>
      </c>
      <c r="S58" s="451">
        <v>44.78</v>
      </c>
      <c r="T58" s="451"/>
      <c r="U58" s="451">
        <f t="shared" si="52"/>
        <v>936.9</v>
      </c>
      <c r="V58" s="451">
        <f t="shared" si="53"/>
        <v>892.12</v>
      </c>
      <c r="W58" s="451">
        <f t="shared" si="53"/>
        <v>44.78</v>
      </c>
      <c r="X58" s="445">
        <f>Y58+Z58</f>
        <v>936.9</v>
      </c>
      <c r="Y58" s="445">
        <v>892.12</v>
      </c>
      <c r="Z58" s="445">
        <v>44.78</v>
      </c>
      <c r="AA58" s="445"/>
      <c r="AB58" s="481"/>
      <c r="AC58" s="481"/>
      <c r="AD58" s="445"/>
      <c r="AE58" s="481"/>
      <c r="AF58" s="481"/>
      <c r="AG58" s="445"/>
      <c r="AH58" s="481"/>
      <c r="AI58" s="481"/>
      <c r="AJ58" s="445"/>
      <c r="AK58" s="451"/>
      <c r="AL58" s="15"/>
    </row>
    <row r="59" spans="1:41" s="146" customFormat="1" ht="30" hidden="1">
      <c r="A59" s="141">
        <f t="shared" si="55"/>
        <v>4</v>
      </c>
      <c r="B59" s="325" t="s">
        <v>825</v>
      </c>
      <c r="C59" s="141" t="s">
        <v>144</v>
      </c>
      <c r="D59" s="141"/>
      <c r="E59" s="141" t="s">
        <v>826</v>
      </c>
      <c r="F59" s="141" t="s">
        <v>53</v>
      </c>
      <c r="G59" s="447">
        <f>H59+I59</f>
        <v>3000.9</v>
      </c>
      <c r="H59" s="445">
        <v>2858</v>
      </c>
      <c r="I59" s="445">
        <v>142.9</v>
      </c>
      <c r="J59" s="448">
        <v>0</v>
      </c>
      <c r="K59" s="483">
        <f>+L59+M59</f>
        <v>2308.7999999999997</v>
      </c>
      <c r="L59" s="448">
        <f>+H59-R59</f>
        <v>2208.6</v>
      </c>
      <c r="M59" s="448">
        <f>+I59-S59</f>
        <v>100.2</v>
      </c>
      <c r="N59" s="483"/>
      <c r="O59" s="448"/>
      <c r="P59" s="448"/>
      <c r="Q59" s="466">
        <f t="shared" si="51"/>
        <v>692.1</v>
      </c>
      <c r="R59" s="448">
        <v>649.4</v>
      </c>
      <c r="S59" s="448">
        <v>42.7</v>
      </c>
      <c r="T59" s="448"/>
      <c r="U59" s="451">
        <f t="shared" si="52"/>
        <v>692.1</v>
      </c>
      <c r="V59" s="451">
        <f t="shared" si="53"/>
        <v>649.4</v>
      </c>
      <c r="W59" s="451">
        <f t="shared" si="53"/>
        <v>42.7</v>
      </c>
      <c r="X59" s="445">
        <f t="shared" si="10"/>
        <v>0</v>
      </c>
      <c r="Y59" s="448"/>
      <c r="Z59" s="448"/>
      <c r="AA59" s="448">
        <f>+AB59+AC59</f>
        <v>692.1</v>
      </c>
      <c r="AB59" s="483">
        <v>649.4</v>
      </c>
      <c r="AC59" s="483">
        <v>42.7</v>
      </c>
      <c r="AD59" s="448"/>
      <c r="AE59" s="483"/>
      <c r="AF59" s="483"/>
      <c r="AG59" s="448"/>
      <c r="AH59" s="483"/>
      <c r="AI59" s="483"/>
      <c r="AJ59" s="448"/>
      <c r="AK59" s="448"/>
      <c r="AL59" s="145"/>
      <c r="AM59" s="369"/>
      <c r="AN59" s="369"/>
      <c r="AO59" s="369"/>
    </row>
    <row r="60" spans="1:41" s="146" customFormat="1" ht="60" hidden="1">
      <c r="A60" s="141">
        <f t="shared" si="55"/>
        <v>5</v>
      </c>
      <c r="B60" s="325" t="s">
        <v>904</v>
      </c>
      <c r="C60" s="141" t="s">
        <v>140</v>
      </c>
      <c r="D60" s="141"/>
      <c r="E60" s="150" t="s">
        <v>905</v>
      </c>
      <c r="F60" s="141" t="s">
        <v>53</v>
      </c>
      <c r="G60" s="447">
        <f t="shared" si="17"/>
        <v>2000.25</v>
      </c>
      <c r="H60" s="445">
        <v>1905</v>
      </c>
      <c r="I60" s="445">
        <v>95.25</v>
      </c>
      <c r="J60" s="448">
        <v>0</v>
      </c>
      <c r="K60" s="483">
        <f>+L60+M60</f>
        <v>0</v>
      </c>
      <c r="L60" s="448">
        <f t="shared" ref="L60:M63" si="56">+H60-R60</f>
        <v>0</v>
      </c>
      <c r="M60" s="448">
        <f t="shared" si="56"/>
        <v>0</v>
      </c>
      <c r="N60" s="483"/>
      <c r="O60" s="448"/>
      <c r="P60" s="448"/>
      <c r="Q60" s="466">
        <f t="shared" si="51"/>
        <v>2000.25</v>
      </c>
      <c r="R60" s="448">
        <v>1905</v>
      </c>
      <c r="S60" s="448">
        <v>95.25</v>
      </c>
      <c r="T60" s="448"/>
      <c r="U60" s="451">
        <f t="shared" si="52"/>
        <v>2000.25</v>
      </c>
      <c r="V60" s="451">
        <f t="shared" si="53"/>
        <v>1905</v>
      </c>
      <c r="W60" s="451">
        <f t="shared" si="53"/>
        <v>95.25</v>
      </c>
      <c r="X60" s="445">
        <f t="shared" si="10"/>
        <v>0</v>
      </c>
      <c r="Y60" s="448"/>
      <c r="Z60" s="448"/>
      <c r="AA60" s="448">
        <f>+AB60+AC60</f>
        <v>2000.25</v>
      </c>
      <c r="AB60" s="483">
        <v>1905</v>
      </c>
      <c r="AC60" s="483">
        <v>95.25</v>
      </c>
      <c r="AD60" s="448"/>
      <c r="AE60" s="483"/>
      <c r="AF60" s="483"/>
      <c r="AG60" s="448"/>
      <c r="AH60" s="483"/>
      <c r="AI60" s="483"/>
      <c r="AJ60" s="448"/>
      <c r="AK60" s="448"/>
      <c r="AL60" s="145"/>
      <c r="AM60" s="369"/>
      <c r="AN60" s="369"/>
      <c r="AO60" s="369"/>
    </row>
    <row r="61" spans="1:41" ht="54" hidden="1" customHeight="1">
      <c r="A61" s="141">
        <f t="shared" si="55"/>
        <v>6</v>
      </c>
      <c r="B61" s="325" t="s">
        <v>908</v>
      </c>
      <c r="C61" s="141" t="s">
        <v>145</v>
      </c>
      <c r="D61" s="8"/>
      <c r="E61" s="22" t="s">
        <v>142</v>
      </c>
      <c r="F61" s="8" t="s">
        <v>54</v>
      </c>
      <c r="G61" s="445">
        <f t="shared" si="17"/>
        <v>599.51</v>
      </c>
      <c r="H61" s="445">
        <v>571.03</v>
      </c>
      <c r="I61" s="445">
        <v>28.48</v>
      </c>
      <c r="J61" s="451">
        <v>0</v>
      </c>
      <c r="K61" s="483">
        <f>+L61+M61</f>
        <v>4.5299999999999727</v>
      </c>
      <c r="L61" s="448">
        <f t="shared" si="56"/>
        <v>4.5299999999999727</v>
      </c>
      <c r="M61" s="448"/>
      <c r="N61" s="483">
        <f>+O61+P61</f>
        <v>4.5199999999999996</v>
      </c>
      <c r="O61" s="451"/>
      <c r="P61" s="451">
        <f>+S61-I61</f>
        <v>4.5199999999999996</v>
      </c>
      <c r="Q61" s="466">
        <f t="shared" si="51"/>
        <v>599.5</v>
      </c>
      <c r="R61" s="451">
        <v>566.5</v>
      </c>
      <c r="S61" s="451">
        <v>33</v>
      </c>
      <c r="T61" s="451"/>
      <c r="U61" s="451">
        <f t="shared" si="52"/>
        <v>599.5</v>
      </c>
      <c r="V61" s="451">
        <f t="shared" si="53"/>
        <v>566.5</v>
      </c>
      <c r="W61" s="451">
        <f t="shared" si="53"/>
        <v>33</v>
      </c>
      <c r="X61" s="445">
        <f t="shared" si="10"/>
        <v>0</v>
      </c>
      <c r="Y61" s="451"/>
      <c r="Z61" s="451"/>
      <c r="AA61" s="451"/>
      <c r="AB61" s="483"/>
      <c r="AC61" s="483"/>
      <c r="AD61" s="448">
        <f t="shared" ref="AD61:AD62" si="57">+AE61+AF61</f>
        <v>599.5</v>
      </c>
      <c r="AE61" s="483">
        <v>566.5</v>
      </c>
      <c r="AF61" s="483">
        <v>33</v>
      </c>
      <c r="AG61" s="451"/>
      <c r="AH61" s="483"/>
      <c r="AI61" s="483"/>
      <c r="AJ61" s="451"/>
      <c r="AK61" s="451"/>
      <c r="AL61" s="15"/>
    </row>
    <row r="62" spans="1:41" ht="45" hidden="1">
      <c r="A62" s="141">
        <f t="shared" si="55"/>
        <v>7</v>
      </c>
      <c r="B62" s="328" t="s">
        <v>146</v>
      </c>
      <c r="C62" s="8" t="s">
        <v>145</v>
      </c>
      <c r="D62" s="8"/>
      <c r="E62" s="22" t="s">
        <v>142</v>
      </c>
      <c r="F62" s="8" t="s">
        <v>54</v>
      </c>
      <c r="G62" s="445">
        <f t="shared" si="17"/>
        <v>506.1</v>
      </c>
      <c r="H62" s="445">
        <v>482</v>
      </c>
      <c r="I62" s="445">
        <v>24.1</v>
      </c>
      <c r="J62" s="451">
        <v>0</v>
      </c>
      <c r="K62" s="483">
        <f>+L62+M62</f>
        <v>3.3999999999999773</v>
      </c>
      <c r="L62" s="448">
        <f t="shared" si="56"/>
        <v>3.3999999999999773</v>
      </c>
      <c r="M62" s="448"/>
      <c r="N62" s="483">
        <f>+O62+P62</f>
        <v>3.7999999999999972</v>
      </c>
      <c r="O62" s="451"/>
      <c r="P62" s="451">
        <f>+S62-I62</f>
        <v>3.7999999999999972</v>
      </c>
      <c r="Q62" s="466">
        <f t="shared" si="51"/>
        <v>506.5</v>
      </c>
      <c r="R62" s="451">
        <v>478.6</v>
      </c>
      <c r="S62" s="451">
        <v>27.9</v>
      </c>
      <c r="T62" s="451"/>
      <c r="U62" s="451">
        <f t="shared" si="52"/>
        <v>506.5</v>
      </c>
      <c r="V62" s="451">
        <f t="shared" si="53"/>
        <v>478.6</v>
      </c>
      <c r="W62" s="451">
        <f t="shared" si="53"/>
        <v>27.9</v>
      </c>
      <c r="X62" s="445">
        <f t="shared" si="10"/>
        <v>0</v>
      </c>
      <c r="Y62" s="451"/>
      <c r="Z62" s="451"/>
      <c r="AA62" s="451"/>
      <c r="AB62" s="483"/>
      <c r="AC62" s="483"/>
      <c r="AD62" s="448">
        <f t="shared" si="57"/>
        <v>506.5</v>
      </c>
      <c r="AE62" s="483">
        <v>478.6</v>
      </c>
      <c r="AF62" s="483">
        <v>27.9</v>
      </c>
      <c r="AG62" s="451"/>
      <c r="AH62" s="483"/>
      <c r="AI62" s="483"/>
      <c r="AJ62" s="451"/>
      <c r="AK62" s="451"/>
      <c r="AL62" s="15"/>
    </row>
    <row r="63" spans="1:41" ht="60" hidden="1">
      <c r="A63" s="141">
        <f t="shared" si="55"/>
        <v>8</v>
      </c>
      <c r="B63" s="328" t="s">
        <v>1137</v>
      </c>
      <c r="C63" s="8" t="s">
        <v>138</v>
      </c>
      <c r="D63" s="8"/>
      <c r="E63" s="22"/>
      <c r="F63" s="8" t="s">
        <v>1170</v>
      </c>
      <c r="G63" s="447">
        <f>H63+I63</f>
        <v>3000.9</v>
      </c>
      <c r="H63" s="447">
        <v>2858</v>
      </c>
      <c r="I63" s="447">
        <v>142.9</v>
      </c>
      <c r="J63" s="448">
        <v>0</v>
      </c>
      <c r="K63" s="483">
        <f>+L63+M63</f>
        <v>100.90000000000019</v>
      </c>
      <c r="L63" s="448">
        <f t="shared" si="56"/>
        <v>73.300000000000182</v>
      </c>
      <c r="M63" s="448">
        <f t="shared" si="56"/>
        <v>27.600000000000009</v>
      </c>
      <c r="N63" s="483">
        <f>+O63+P63</f>
        <v>0</v>
      </c>
      <c r="O63" s="451"/>
      <c r="P63" s="451"/>
      <c r="Q63" s="451">
        <f>+R63+S63</f>
        <v>2900</v>
      </c>
      <c r="R63" s="483">
        <v>2784.7</v>
      </c>
      <c r="S63" s="483">
        <v>115.3</v>
      </c>
      <c r="T63" s="544" t="s">
        <v>1169</v>
      </c>
      <c r="U63" s="451">
        <f t="shared" si="52"/>
        <v>1622.9</v>
      </c>
      <c r="V63" s="451">
        <f t="shared" si="53"/>
        <v>1533.7</v>
      </c>
      <c r="W63" s="451">
        <f t="shared" si="53"/>
        <v>89.2</v>
      </c>
      <c r="X63" s="445"/>
      <c r="Y63" s="451"/>
      <c r="Z63" s="451"/>
      <c r="AA63" s="451"/>
      <c r="AB63" s="483"/>
      <c r="AC63" s="483"/>
      <c r="AD63" s="448">
        <f>+AE63+AF63</f>
        <v>1622.9</v>
      </c>
      <c r="AE63" s="483">
        <v>1533.7</v>
      </c>
      <c r="AF63" s="483">
        <v>89.2</v>
      </c>
      <c r="AG63" s="451">
        <f t="shared" ref="AG63:AG67" si="58">+AH63+AI63</f>
        <v>1277.0999999999997</v>
      </c>
      <c r="AH63" s="483">
        <f>2784.7-1533.7</f>
        <v>1250.9999999999998</v>
      </c>
      <c r="AI63" s="483">
        <f>115.3-89.2</f>
        <v>26.099999999999994</v>
      </c>
      <c r="AJ63" s="451"/>
      <c r="AK63" s="451"/>
      <c r="AL63" s="451"/>
    </row>
    <row r="64" spans="1:41" ht="60" hidden="1">
      <c r="A64" s="141">
        <f t="shared" si="55"/>
        <v>9</v>
      </c>
      <c r="B64" s="328" t="s">
        <v>1136</v>
      </c>
      <c r="C64" s="8" t="s">
        <v>138</v>
      </c>
      <c r="D64" s="8"/>
      <c r="E64" s="22"/>
      <c r="F64" s="8" t="s">
        <v>55</v>
      </c>
      <c r="G64" s="445"/>
      <c r="H64" s="445"/>
      <c r="I64" s="445"/>
      <c r="J64" s="451"/>
      <c r="K64" s="483"/>
      <c r="L64" s="451"/>
      <c r="M64" s="451"/>
      <c r="N64" s="451">
        <f>+O64+P64</f>
        <v>1249.6100000000001</v>
      </c>
      <c r="O64" s="483">
        <v>1187.1300000000001</v>
      </c>
      <c r="P64" s="483">
        <v>62.48</v>
      </c>
      <c r="Q64" s="451">
        <f>+R64+S64</f>
        <v>1249.6100000000001</v>
      </c>
      <c r="R64" s="483">
        <v>1187.1300000000001</v>
      </c>
      <c r="S64" s="483">
        <v>62.48</v>
      </c>
      <c r="T64" s="533" t="s">
        <v>1166</v>
      </c>
      <c r="U64" s="451"/>
      <c r="V64" s="451"/>
      <c r="W64" s="451"/>
      <c r="X64" s="445"/>
      <c r="Y64" s="451"/>
      <c r="Z64" s="451"/>
      <c r="AA64" s="451"/>
      <c r="AB64" s="483"/>
      <c r="AC64" s="483"/>
      <c r="AD64" s="448"/>
      <c r="AE64" s="483"/>
      <c r="AF64" s="483"/>
      <c r="AG64" s="451">
        <f>+AH64+AI64</f>
        <v>1249.6100000000001</v>
      </c>
      <c r="AH64" s="483">
        <v>1187.1300000000001</v>
      </c>
      <c r="AI64" s="483">
        <v>62.48</v>
      </c>
      <c r="AJ64" s="451"/>
      <c r="AK64" s="451"/>
      <c r="AL64" s="451"/>
    </row>
    <row r="65" spans="1:41" ht="45" hidden="1">
      <c r="A65" s="141">
        <f t="shared" si="55"/>
        <v>10</v>
      </c>
      <c r="B65" s="328" t="s">
        <v>1138</v>
      </c>
      <c r="C65" s="8" t="s">
        <v>1141</v>
      </c>
      <c r="D65" s="8"/>
      <c r="E65" s="22"/>
      <c r="F65" s="8" t="s">
        <v>55</v>
      </c>
      <c r="G65" s="445"/>
      <c r="H65" s="445"/>
      <c r="I65" s="445"/>
      <c r="J65" s="451"/>
      <c r="K65" s="483"/>
      <c r="L65" s="451"/>
      <c r="M65" s="451"/>
      <c r="N65" s="451">
        <f t="shared" ref="N65:N67" si="59">+O65+P65</f>
        <v>400</v>
      </c>
      <c r="O65" s="483">
        <v>380</v>
      </c>
      <c r="P65" s="483">
        <v>20</v>
      </c>
      <c r="Q65" s="451">
        <f t="shared" ref="Q65:Q67" si="60">+R65+S65</f>
        <v>400</v>
      </c>
      <c r="R65" s="483">
        <v>380</v>
      </c>
      <c r="S65" s="483">
        <v>20</v>
      </c>
      <c r="T65" s="533" t="s">
        <v>1166</v>
      </c>
      <c r="U65" s="451"/>
      <c r="V65" s="451"/>
      <c r="W65" s="451"/>
      <c r="X65" s="445"/>
      <c r="Y65" s="451"/>
      <c r="Z65" s="451"/>
      <c r="AA65" s="451"/>
      <c r="AB65" s="483"/>
      <c r="AC65" s="483"/>
      <c r="AD65" s="448"/>
      <c r="AE65" s="483"/>
      <c r="AF65" s="483"/>
      <c r="AG65" s="451">
        <f t="shared" si="58"/>
        <v>400</v>
      </c>
      <c r="AH65" s="483">
        <v>380</v>
      </c>
      <c r="AI65" s="483">
        <v>20</v>
      </c>
      <c r="AJ65" s="451"/>
      <c r="AK65" s="451"/>
      <c r="AL65" s="15"/>
    </row>
    <row r="66" spans="1:41" ht="45" hidden="1">
      <c r="A66" s="141">
        <f t="shared" si="55"/>
        <v>11</v>
      </c>
      <c r="B66" s="328" t="s">
        <v>1139</v>
      </c>
      <c r="C66" s="8" t="s">
        <v>145</v>
      </c>
      <c r="D66" s="8"/>
      <c r="E66" s="22"/>
      <c r="F66" s="8" t="s">
        <v>55</v>
      </c>
      <c r="G66" s="445"/>
      <c r="H66" s="445"/>
      <c r="I66" s="445"/>
      <c r="J66" s="451"/>
      <c r="K66" s="483"/>
      <c r="L66" s="451"/>
      <c r="M66" s="451"/>
      <c r="N66" s="451">
        <f t="shared" si="59"/>
        <v>400</v>
      </c>
      <c r="O66" s="483">
        <v>380</v>
      </c>
      <c r="P66" s="483">
        <v>20</v>
      </c>
      <c r="Q66" s="451">
        <f t="shared" si="60"/>
        <v>400</v>
      </c>
      <c r="R66" s="483">
        <v>380</v>
      </c>
      <c r="S66" s="483">
        <v>20</v>
      </c>
      <c r="T66" s="533" t="s">
        <v>1166</v>
      </c>
      <c r="U66" s="451"/>
      <c r="V66" s="451"/>
      <c r="W66" s="451"/>
      <c r="X66" s="445"/>
      <c r="Y66" s="451"/>
      <c r="Z66" s="451"/>
      <c r="AA66" s="451"/>
      <c r="AB66" s="483"/>
      <c r="AC66" s="483"/>
      <c r="AD66" s="448"/>
      <c r="AE66" s="483"/>
      <c r="AF66" s="483"/>
      <c r="AG66" s="451">
        <f t="shared" si="58"/>
        <v>400</v>
      </c>
      <c r="AH66" s="483">
        <v>380</v>
      </c>
      <c r="AI66" s="483">
        <v>20</v>
      </c>
      <c r="AJ66" s="451"/>
      <c r="AK66" s="451"/>
      <c r="AL66" s="15"/>
    </row>
    <row r="67" spans="1:41" ht="45" hidden="1">
      <c r="A67" s="141">
        <f t="shared" si="55"/>
        <v>12</v>
      </c>
      <c r="B67" s="328" t="s">
        <v>1140</v>
      </c>
      <c r="C67" s="8" t="s">
        <v>140</v>
      </c>
      <c r="D67" s="8"/>
      <c r="E67" s="22"/>
      <c r="F67" s="8" t="s">
        <v>55</v>
      </c>
      <c r="G67" s="445"/>
      <c r="H67" s="445"/>
      <c r="I67" s="445"/>
      <c r="J67" s="451"/>
      <c r="K67" s="483"/>
      <c r="L67" s="451"/>
      <c r="M67" s="451"/>
      <c r="N67" s="451">
        <f t="shared" si="59"/>
        <v>359.7</v>
      </c>
      <c r="O67" s="483">
        <v>342.7</v>
      </c>
      <c r="P67" s="483">
        <v>17</v>
      </c>
      <c r="Q67" s="451">
        <f t="shared" si="60"/>
        <v>359.7</v>
      </c>
      <c r="R67" s="483">
        <v>342.7</v>
      </c>
      <c r="S67" s="483">
        <v>17</v>
      </c>
      <c r="T67" s="533" t="s">
        <v>1166</v>
      </c>
      <c r="U67" s="451"/>
      <c r="V67" s="451"/>
      <c r="W67" s="451"/>
      <c r="X67" s="445"/>
      <c r="Y67" s="451"/>
      <c r="Z67" s="451"/>
      <c r="AA67" s="451"/>
      <c r="AB67" s="483"/>
      <c r="AC67" s="483"/>
      <c r="AD67" s="448"/>
      <c r="AE67" s="483"/>
      <c r="AF67" s="483"/>
      <c r="AG67" s="451">
        <f t="shared" si="58"/>
        <v>359.7</v>
      </c>
      <c r="AH67" s="483">
        <v>342.7</v>
      </c>
      <c r="AI67" s="483">
        <v>17</v>
      </c>
      <c r="AJ67" s="451"/>
      <c r="AK67" s="451"/>
      <c r="AL67" s="15"/>
    </row>
    <row r="68" spans="1:41" s="14" customFormat="1" ht="23.25" customHeight="1">
      <c r="A68" s="4" t="s">
        <v>991</v>
      </c>
      <c r="B68" s="507" t="s">
        <v>148</v>
      </c>
      <c r="C68" s="418"/>
      <c r="D68" s="418"/>
      <c r="E68" s="417">
        <v>0</v>
      </c>
      <c r="F68" s="417"/>
      <c r="G68" s="446">
        <f>SUM(G69:G82)</f>
        <v>10103.24</v>
      </c>
      <c r="H68" s="446">
        <f t="shared" ref="H68:T68" si="61">SUM(H69:H82)</f>
        <v>9621.49</v>
      </c>
      <c r="I68" s="446">
        <f t="shared" si="61"/>
        <v>481.75</v>
      </c>
      <c r="J68" s="446">
        <f t="shared" si="61"/>
        <v>0</v>
      </c>
      <c r="K68" s="446">
        <f t="shared" si="61"/>
        <v>659.27559999999994</v>
      </c>
      <c r="L68" s="446">
        <f t="shared" si="61"/>
        <v>642.63559999999995</v>
      </c>
      <c r="M68" s="446">
        <f t="shared" si="61"/>
        <v>16.64</v>
      </c>
      <c r="N68" s="446">
        <f t="shared" si="61"/>
        <v>659.27559999999994</v>
      </c>
      <c r="O68" s="446">
        <f t="shared" si="61"/>
        <v>642.63559999999995</v>
      </c>
      <c r="P68" s="446">
        <f t="shared" si="61"/>
        <v>16.64</v>
      </c>
      <c r="Q68" s="446">
        <f t="shared" si="61"/>
        <v>10103.239999999998</v>
      </c>
      <c r="R68" s="446">
        <f t="shared" si="61"/>
        <v>9621.49</v>
      </c>
      <c r="S68" s="446">
        <f t="shared" si="61"/>
        <v>481.75</v>
      </c>
      <c r="T68" s="446">
        <f t="shared" si="61"/>
        <v>0</v>
      </c>
      <c r="U68" s="446">
        <f t="shared" ref="U68:W68" si="62">SUM(U69:U81)</f>
        <v>6720.6643999999997</v>
      </c>
      <c r="V68" s="446">
        <f t="shared" si="62"/>
        <v>6372.0544</v>
      </c>
      <c r="W68" s="446">
        <f t="shared" si="62"/>
        <v>348.61</v>
      </c>
      <c r="X68" s="446">
        <f>SUM(X69:X81)</f>
        <v>1818.69</v>
      </c>
      <c r="Y68" s="446">
        <f>SUM(Y69:Y81)</f>
        <v>1731.69</v>
      </c>
      <c r="Z68" s="446">
        <f>SUM(Z69:Z81)</f>
        <v>87</v>
      </c>
      <c r="AA68" s="446">
        <f t="shared" ref="AA68:AF68" si="63">SUM(AA69:AA81)</f>
        <v>2422.0244000000002</v>
      </c>
      <c r="AB68" s="446">
        <f t="shared" si="63"/>
        <v>2296.6644000000001</v>
      </c>
      <c r="AC68" s="446">
        <f t="shared" si="63"/>
        <v>125.36</v>
      </c>
      <c r="AD68" s="446">
        <f t="shared" si="63"/>
        <v>2479.9499999999998</v>
      </c>
      <c r="AE68" s="446">
        <f t="shared" si="63"/>
        <v>2343.6999999999998</v>
      </c>
      <c r="AF68" s="446">
        <f t="shared" si="63"/>
        <v>136.25</v>
      </c>
      <c r="AG68" s="446">
        <f>SUM(AG69:AG82)</f>
        <v>3382.5756000000001</v>
      </c>
      <c r="AH68" s="446">
        <f t="shared" ref="AH68:AI68" si="64">SUM(AH69:AH82)</f>
        <v>3249.4356000000002</v>
      </c>
      <c r="AI68" s="446">
        <f t="shared" si="64"/>
        <v>133.13999999999999</v>
      </c>
      <c r="AJ68" s="446"/>
      <c r="AK68" s="446">
        <f>SUM(AK69:AK81)</f>
        <v>0</v>
      </c>
      <c r="AL68" s="16"/>
      <c r="AM68" s="368">
        <f>+'NĂM 2022'!K39+'NĂM 2023'!N35+'NĂM 2024'!J36+'NĂM 2025'!J35</f>
        <v>10103.240000000002</v>
      </c>
      <c r="AN68" s="368">
        <f>+'NĂM 2022'!L39+'NĂM 2023'!O35+'NĂM 2024'!K36+'NĂM 2025'!K35</f>
        <v>9621.4900000000016</v>
      </c>
      <c r="AO68" s="368">
        <f>+'NĂM 2022'!M39+'NĂM 2023'!P35+'NĂM 2024'!L36+'NĂM 2025'!L35</f>
        <v>481.75</v>
      </c>
    </row>
    <row r="69" spans="1:41" ht="75" hidden="1">
      <c r="A69" s="21">
        <v>1</v>
      </c>
      <c r="B69" s="329" t="s">
        <v>149</v>
      </c>
      <c r="C69" s="21" t="s">
        <v>150</v>
      </c>
      <c r="D69" s="21"/>
      <c r="E69" s="21" t="s">
        <v>151</v>
      </c>
      <c r="F69" s="21" t="s">
        <v>52</v>
      </c>
      <c r="G69" s="445">
        <f t="shared" si="17"/>
        <v>998</v>
      </c>
      <c r="H69" s="445">
        <v>950</v>
      </c>
      <c r="I69" s="445">
        <v>48</v>
      </c>
      <c r="J69" s="451"/>
      <c r="K69" s="483">
        <f>+G69-Q69</f>
        <v>0</v>
      </c>
      <c r="L69" s="451"/>
      <c r="M69" s="451"/>
      <c r="N69" s="483"/>
      <c r="O69" s="451"/>
      <c r="P69" s="451"/>
      <c r="Q69" s="466">
        <f>+R69+S69</f>
        <v>998</v>
      </c>
      <c r="R69" s="451">
        <v>950</v>
      </c>
      <c r="S69" s="451">
        <v>48</v>
      </c>
      <c r="T69" s="451"/>
      <c r="U69" s="451">
        <f>+V69+W69</f>
        <v>998</v>
      </c>
      <c r="V69" s="451">
        <f>+Y69+AB69+AE69</f>
        <v>950</v>
      </c>
      <c r="W69" s="451">
        <f>+Z69+AC69+AF69</f>
        <v>48</v>
      </c>
      <c r="X69" s="445">
        <f t="shared" si="10"/>
        <v>998</v>
      </c>
      <c r="Y69" s="445">
        <v>950</v>
      </c>
      <c r="Z69" s="445">
        <v>48</v>
      </c>
      <c r="AA69" s="445"/>
      <c r="AB69" s="481"/>
      <c r="AC69" s="481"/>
      <c r="AD69" s="445"/>
      <c r="AE69" s="481"/>
      <c r="AF69" s="481"/>
      <c r="AG69" s="445"/>
      <c r="AH69" s="481"/>
      <c r="AI69" s="481"/>
      <c r="AJ69" s="445"/>
      <c r="AK69" s="451"/>
      <c r="AL69" s="15"/>
      <c r="AM69" s="506">
        <f>+G68-U68</f>
        <v>3382.5756000000001</v>
      </c>
      <c r="AN69" s="506">
        <f>+H68-V68</f>
        <v>3249.4355999999998</v>
      </c>
      <c r="AO69" s="506">
        <f>+I68-W68</f>
        <v>133.13999999999999</v>
      </c>
    </row>
    <row r="70" spans="1:41" ht="45" hidden="1">
      <c r="A70" s="21">
        <f>+A69+1</f>
        <v>2</v>
      </c>
      <c r="B70" s="329" t="s">
        <v>152</v>
      </c>
      <c r="C70" s="21" t="s">
        <v>153</v>
      </c>
      <c r="D70" s="21"/>
      <c r="E70" s="21" t="s">
        <v>154</v>
      </c>
      <c r="F70" s="21" t="s">
        <v>52</v>
      </c>
      <c r="G70" s="445">
        <f t="shared" si="17"/>
        <v>820.69</v>
      </c>
      <c r="H70" s="445">
        <v>781.69</v>
      </c>
      <c r="I70" s="445">
        <v>39</v>
      </c>
      <c r="J70" s="451"/>
      <c r="K70" s="483">
        <f t="shared" ref="K70:K81" si="65">+G70-Q70</f>
        <v>0</v>
      </c>
      <c r="L70" s="451"/>
      <c r="M70" s="451"/>
      <c r="N70" s="483"/>
      <c r="O70" s="451"/>
      <c r="P70" s="451"/>
      <c r="Q70" s="466">
        <f t="shared" ref="Q70:Q78" si="66">+R70+S70</f>
        <v>820.69</v>
      </c>
      <c r="R70" s="451">
        <v>781.69</v>
      </c>
      <c r="S70" s="451">
        <v>39</v>
      </c>
      <c r="T70" s="451"/>
      <c r="U70" s="451">
        <f t="shared" ref="U70:U81" si="67">+V70+W70</f>
        <v>820.69</v>
      </c>
      <c r="V70" s="451">
        <f t="shared" ref="V70:W81" si="68">+Y70+AB70+AE70</f>
        <v>781.69</v>
      </c>
      <c r="W70" s="451">
        <f t="shared" si="68"/>
        <v>39</v>
      </c>
      <c r="X70" s="445">
        <f t="shared" si="10"/>
        <v>820.69</v>
      </c>
      <c r="Y70" s="445">
        <v>781.69</v>
      </c>
      <c r="Z70" s="445">
        <v>39</v>
      </c>
      <c r="AA70" s="445"/>
      <c r="AB70" s="481"/>
      <c r="AC70" s="481"/>
      <c r="AD70" s="445"/>
      <c r="AE70" s="481"/>
      <c r="AF70" s="481"/>
      <c r="AG70" s="445"/>
      <c r="AH70" s="481"/>
      <c r="AI70" s="481"/>
      <c r="AJ70" s="445"/>
      <c r="AK70" s="451"/>
      <c r="AL70" s="15"/>
      <c r="AM70" s="515">
        <f>+AM69-AG68</f>
        <v>0</v>
      </c>
      <c r="AN70" s="515">
        <f t="shared" ref="AN70:AO70" si="69">+AN69-AH68</f>
        <v>0</v>
      </c>
      <c r="AO70" s="506">
        <f t="shared" si="69"/>
        <v>0</v>
      </c>
    </row>
    <row r="71" spans="1:41" ht="75" hidden="1">
      <c r="A71" s="21">
        <f t="shared" ref="A71:A82" si="70">+A70+1</f>
        <v>3</v>
      </c>
      <c r="B71" s="329" t="s">
        <v>155</v>
      </c>
      <c r="C71" s="21" t="s">
        <v>156</v>
      </c>
      <c r="D71" s="21"/>
      <c r="E71" s="21" t="s">
        <v>151</v>
      </c>
      <c r="F71" s="21" t="s">
        <v>53</v>
      </c>
      <c r="G71" s="445">
        <f t="shared" si="17"/>
        <v>998</v>
      </c>
      <c r="H71" s="445">
        <v>950</v>
      </c>
      <c r="I71" s="445">
        <v>48</v>
      </c>
      <c r="J71" s="451"/>
      <c r="K71" s="483">
        <f>+L71+M71</f>
        <v>182</v>
      </c>
      <c r="L71" s="451">
        <f>+H71-R71</f>
        <v>176</v>
      </c>
      <c r="M71" s="451">
        <f>+I71-S71</f>
        <v>6</v>
      </c>
      <c r="N71" s="483"/>
      <c r="O71" s="451"/>
      <c r="P71" s="451"/>
      <c r="Q71" s="466">
        <f t="shared" si="66"/>
        <v>816</v>
      </c>
      <c r="R71" s="451">
        <v>774</v>
      </c>
      <c r="S71" s="451">
        <v>42</v>
      </c>
      <c r="T71" s="451"/>
      <c r="U71" s="451">
        <f t="shared" si="67"/>
        <v>816</v>
      </c>
      <c r="V71" s="451">
        <f t="shared" si="68"/>
        <v>774</v>
      </c>
      <c r="W71" s="451">
        <f t="shared" si="68"/>
        <v>42</v>
      </c>
      <c r="X71" s="445">
        <f t="shared" si="10"/>
        <v>0</v>
      </c>
      <c r="Y71" s="451"/>
      <c r="Z71" s="451"/>
      <c r="AA71" s="451">
        <f>+AB71+AC71</f>
        <v>816</v>
      </c>
      <c r="AB71" s="483">
        <v>774</v>
      </c>
      <c r="AC71" s="483">
        <v>42</v>
      </c>
      <c r="AD71" s="451"/>
      <c r="AE71" s="483"/>
      <c r="AF71" s="483"/>
      <c r="AG71" s="451"/>
      <c r="AH71" s="483"/>
      <c r="AI71" s="483"/>
      <c r="AJ71" s="451"/>
      <c r="AK71" s="451"/>
      <c r="AL71" s="15"/>
      <c r="AM71" s="513">
        <f>+AM69-AG79-AG80-AG81</f>
        <v>648.77560000000017</v>
      </c>
      <c r="AN71" s="513">
        <f t="shared" ref="AN71:AO71" si="71">+AN69-AH79-AH80-AH81</f>
        <v>642.63559999999984</v>
      </c>
      <c r="AO71" s="513">
        <f t="shared" si="71"/>
        <v>6.1399999999999864</v>
      </c>
    </row>
    <row r="72" spans="1:41" ht="75" hidden="1">
      <c r="A72" s="21">
        <f t="shared" si="70"/>
        <v>4</v>
      </c>
      <c r="B72" s="329" t="s">
        <v>157</v>
      </c>
      <c r="C72" s="21" t="s">
        <v>158</v>
      </c>
      <c r="D72" s="21"/>
      <c r="E72" s="8" t="s">
        <v>159</v>
      </c>
      <c r="F72" s="21" t="s">
        <v>53</v>
      </c>
      <c r="G72" s="445">
        <f t="shared" si="17"/>
        <v>499</v>
      </c>
      <c r="H72" s="445">
        <v>475</v>
      </c>
      <c r="I72" s="445">
        <v>24</v>
      </c>
      <c r="J72" s="451">
        <v>0</v>
      </c>
      <c r="K72" s="483">
        <f t="shared" ref="K72:K75" si="72">+L72+M72</f>
        <v>91</v>
      </c>
      <c r="L72" s="451">
        <f t="shared" ref="L72:M75" si="73">+H72-R72</f>
        <v>88</v>
      </c>
      <c r="M72" s="451">
        <f t="shared" si="73"/>
        <v>3</v>
      </c>
      <c r="N72" s="483"/>
      <c r="O72" s="451"/>
      <c r="P72" s="451"/>
      <c r="Q72" s="466">
        <f t="shared" si="66"/>
        <v>408</v>
      </c>
      <c r="R72" s="451">
        <v>387</v>
      </c>
      <c r="S72" s="451">
        <v>21</v>
      </c>
      <c r="T72" s="451"/>
      <c r="U72" s="451">
        <f t="shared" si="67"/>
        <v>408</v>
      </c>
      <c r="V72" s="451">
        <f t="shared" si="68"/>
        <v>387</v>
      </c>
      <c r="W72" s="451">
        <f t="shared" si="68"/>
        <v>21</v>
      </c>
      <c r="X72" s="445">
        <f t="shared" si="10"/>
        <v>0</v>
      </c>
      <c r="Y72" s="451"/>
      <c r="Z72" s="451"/>
      <c r="AA72" s="451">
        <f t="shared" ref="AA72:AA74" si="74">+AB72+AC72</f>
        <v>408</v>
      </c>
      <c r="AB72" s="483">
        <v>387</v>
      </c>
      <c r="AC72" s="483">
        <v>21</v>
      </c>
      <c r="AD72" s="451"/>
      <c r="AE72" s="483"/>
      <c r="AF72" s="483"/>
      <c r="AG72" s="451"/>
      <c r="AH72" s="483"/>
      <c r="AI72" s="483"/>
      <c r="AJ72" s="451"/>
      <c r="AK72" s="451"/>
      <c r="AL72" s="15"/>
    </row>
    <row r="73" spans="1:41" ht="30" hidden="1">
      <c r="A73" s="21">
        <f t="shared" si="70"/>
        <v>5</v>
      </c>
      <c r="B73" s="329" t="s">
        <v>160</v>
      </c>
      <c r="C73" s="21" t="s">
        <v>161</v>
      </c>
      <c r="D73" s="21"/>
      <c r="E73" s="21" t="s">
        <v>162</v>
      </c>
      <c r="F73" s="21" t="s">
        <v>53</v>
      </c>
      <c r="G73" s="445">
        <f t="shared" si="17"/>
        <v>996</v>
      </c>
      <c r="H73" s="445">
        <v>950</v>
      </c>
      <c r="I73" s="445">
        <v>46</v>
      </c>
      <c r="J73" s="451">
        <v>0</v>
      </c>
      <c r="K73" s="483">
        <f t="shared" si="72"/>
        <v>206.8356</v>
      </c>
      <c r="L73" s="451">
        <f t="shared" si="73"/>
        <v>200.8356</v>
      </c>
      <c r="M73" s="451">
        <f t="shared" si="73"/>
        <v>6</v>
      </c>
      <c r="N73" s="483"/>
      <c r="O73" s="451"/>
      <c r="P73" s="451"/>
      <c r="Q73" s="466">
        <f t="shared" si="66"/>
        <v>789.1644</v>
      </c>
      <c r="R73" s="451">
        <v>749.1644</v>
      </c>
      <c r="S73" s="451">
        <v>40</v>
      </c>
      <c r="T73" s="451"/>
      <c r="U73" s="451">
        <f t="shared" si="67"/>
        <v>789.1644</v>
      </c>
      <c r="V73" s="451">
        <f t="shared" si="68"/>
        <v>749.1644</v>
      </c>
      <c r="W73" s="451">
        <f t="shared" si="68"/>
        <v>40</v>
      </c>
      <c r="X73" s="445">
        <f t="shared" si="10"/>
        <v>0</v>
      </c>
      <c r="Y73" s="451"/>
      <c r="Z73" s="451"/>
      <c r="AA73" s="451">
        <f t="shared" si="74"/>
        <v>789.1644</v>
      </c>
      <c r="AB73" s="483">
        <f>774-24.8356</f>
        <v>749.1644</v>
      </c>
      <c r="AC73" s="483">
        <v>40</v>
      </c>
      <c r="AD73" s="451"/>
      <c r="AE73" s="483"/>
      <c r="AF73" s="483"/>
      <c r="AG73" s="451"/>
      <c r="AH73" s="483"/>
      <c r="AI73" s="483"/>
      <c r="AJ73" s="451"/>
      <c r="AK73" s="451"/>
      <c r="AL73" s="15"/>
    </row>
    <row r="74" spans="1:41" ht="30" hidden="1">
      <c r="A74" s="21">
        <f t="shared" si="70"/>
        <v>6</v>
      </c>
      <c r="B74" s="329" t="s">
        <v>163</v>
      </c>
      <c r="C74" s="21" t="s">
        <v>164</v>
      </c>
      <c r="D74" s="21"/>
      <c r="E74" s="21" t="s">
        <v>165</v>
      </c>
      <c r="F74" s="21" t="s">
        <v>53</v>
      </c>
      <c r="G74" s="445">
        <f t="shared" si="17"/>
        <v>499</v>
      </c>
      <c r="H74" s="445">
        <v>475</v>
      </c>
      <c r="I74" s="445">
        <v>24</v>
      </c>
      <c r="J74" s="451">
        <v>0</v>
      </c>
      <c r="K74" s="483">
        <f t="shared" si="72"/>
        <v>90.14</v>
      </c>
      <c r="L74" s="451">
        <f t="shared" si="73"/>
        <v>88.5</v>
      </c>
      <c r="M74" s="451">
        <f t="shared" si="73"/>
        <v>1.6400000000000006</v>
      </c>
      <c r="N74" s="483"/>
      <c r="O74" s="451"/>
      <c r="P74" s="451"/>
      <c r="Q74" s="466">
        <f t="shared" si="66"/>
        <v>408.86</v>
      </c>
      <c r="R74" s="451">
        <v>386.5</v>
      </c>
      <c r="S74" s="451">
        <v>22.36</v>
      </c>
      <c r="T74" s="451"/>
      <c r="U74" s="451">
        <f t="shared" si="67"/>
        <v>408.86</v>
      </c>
      <c r="V74" s="451">
        <f t="shared" si="68"/>
        <v>386.5</v>
      </c>
      <c r="W74" s="451">
        <f t="shared" si="68"/>
        <v>22.36</v>
      </c>
      <c r="X74" s="445">
        <f t="shared" si="10"/>
        <v>0</v>
      </c>
      <c r="Y74" s="451"/>
      <c r="Z74" s="451"/>
      <c r="AA74" s="451">
        <f t="shared" si="74"/>
        <v>408.86</v>
      </c>
      <c r="AB74" s="483">
        <v>386.5</v>
      </c>
      <c r="AC74" s="483">
        <v>22.36</v>
      </c>
      <c r="AD74" s="451"/>
      <c r="AE74" s="483"/>
      <c r="AF74" s="483"/>
      <c r="AG74" s="451"/>
      <c r="AH74" s="483"/>
      <c r="AI74" s="483"/>
      <c r="AJ74" s="451"/>
      <c r="AK74" s="451"/>
      <c r="AL74" s="15"/>
    </row>
    <row r="75" spans="1:41" ht="30" hidden="1">
      <c r="A75" s="21">
        <f t="shared" si="70"/>
        <v>7</v>
      </c>
      <c r="B75" s="329" t="s">
        <v>169</v>
      </c>
      <c r="C75" s="21" t="s">
        <v>170</v>
      </c>
      <c r="D75" s="21"/>
      <c r="E75" s="21" t="s">
        <v>171</v>
      </c>
      <c r="F75" s="21" t="s">
        <v>54</v>
      </c>
      <c r="G75" s="445">
        <f t="shared" si="17"/>
        <v>706</v>
      </c>
      <c r="H75" s="445">
        <v>672</v>
      </c>
      <c r="I75" s="445">
        <v>34</v>
      </c>
      <c r="J75" s="451">
        <v>0</v>
      </c>
      <c r="K75" s="483">
        <f t="shared" si="72"/>
        <v>89.299999999999955</v>
      </c>
      <c r="L75" s="451">
        <f t="shared" si="73"/>
        <v>89.299999999999955</v>
      </c>
      <c r="M75" s="451"/>
      <c r="N75" s="483">
        <f>+O75+P75</f>
        <v>10.5</v>
      </c>
      <c r="O75" s="451"/>
      <c r="P75" s="451">
        <f>+S75-I75</f>
        <v>10.5</v>
      </c>
      <c r="Q75" s="466">
        <f t="shared" si="66"/>
        <v>627.20000000000005</v>
      </c>
      <c r="R75" s="451">
        <v>582.70000000000005</v>
      </c>
      <c r="S75" s="451">
        <v>44.5</v>
      </c>
      <c r="T75" s="451"/>
      <c r="U75" s="451">
        <f t="shared" si="67"/>
        <v>627.20000000000005</v>
      </c>
      <c r="V75" s="451">
        <f t="shared" si="68"/>
        <v>582.70000000000005</v>
      </c>
      <c r="W75" s="451">
        <f t="shared" si="68"/>
        <v>44.5</v>
      </c>
      <c r="X75" s="445">
        <f t="shared" si="10"/>
        <v>0</v>
      </c>
      <c r="Y75" s="451"/>
      <c r="Z75" s="451"/>
      <c r="AA75" s="451"/>
      <c r="AB75" s="483"/>
      <c r="AC75" s="483"/>
      <c r="AD75" s="451">
        <f t="shared" ref="AD75:AD78" si="75">+AE75+AF75</f>
        <v>627.20000000000005</v>
      </c>
      <c r="AE75" s="483">
        <v>582.70000000000005</v>
      </c>
      <c r="AF75" s="483">
        <v>44.5</v>
      </c>
      <c r="AG75" s="451"/>
      <c r="AH75" s="483"/>
      <c r="AI75" s="483"/>
      <c r="AJ75" s="451"/>
      <c r="AK75" s="451"/>
      <c r="AL75" s="15"/>
    </row>
    <row r="76" spans="1:41" s="504" customFormat="1" ht="60" hidden="1">
      <c r="A76" s="21">
        <f t="shared" si="70"/>
        <v>8</v>
      </c>
      <c r="B76" s="500" t="s">
        <v>1125</v>
      </c>
      <c r="C76" s="499" t="s">
        <v>1126</v>
      </c>
      <c r="D76" s="499"/>
      <c r="E76" s="499" t="s">
        <v>174</v>
      </c>
      <c r="F76" s="499" t="s">
        <v>54</v>
      </c>
      <c r="G76" s="501">
        <f t="shared" si="17"/>
        <v>1420.25</v>
      </c>
      <c r="H76" s="501">
        <v>1351</v>
      </c>
      <c r="I76" s="501">
        <v>69.25</v>
      </c>
      <c r="J76" s="466">
        <v>0</v>
      </c>
      <c r="K76" s="483">
        <f t="shared" si="65"/>
        <v>0</v>
      </c>
      <c r="L76" s="466"/>
      <c r="M76" s="466"/>
      <c r="N76" s="483"/>
      <c r="O76" s="466"/>
      <c r="P76" s="466"/>
      <c r="Q76" s="466">
        <f t="shared" si="66"/>
        <v>1420.25</v>
      </c>
      <c r="R76" s="466">
        <v>1351</v>
      </c>
      <c r="S76" s="466">
        <v>69.25</v>
      </c>
      <c r="T76" s="466"/>
      <c r="U76" s="451">
        <f t="shared" si="67"/>
        <v>1420.25</v>
      </c>
      <c r="V76" s="451">
        <f t="shared" si="68"/>
        <v>1351</v>
      </c>
      <c r="W76" s="451">
        <f t="shared" si="68"/>
        <v>69.25</v>
      </c>
      <c r="X76" s="445">
        <f t="shared" si="10"/>
        <v>0</v>
      </c>
      <c r="Y76" s="466"/>
      <c r="Z76" s="466"/>
      <c r="AA76" s="466"/>
      <c r="AB76" s="466"/>
      <c r="AC76" s="466"/>
      <c r="AD76" s="466">
        <f t="shared" si="75"/>
        <v>1420.25</v>
      </c>
      <c r="AE76" s="466">
        <v>1351</v>
      </c>
      <c r="AF76" s="466">
        <v>69.25</v>
      </c>
      <c r="AG76" s="466"/>
      <c r="AH76" s="466"/>
      <c r="AI76" s="466"/>
      <c r="AJ76" s="466"/>
      <c r="AK76" s="466"/>
      <c r="AL76" s="502"/>
      <c r="AM76" s="503"/>
      <c r="AN76" s="503"/>
      <c r="AO76" s="503"/>
    </row>
    <row r="77" spans="1:41" s="504" customFormat="1" ht="30" hidden="1">
      <c r="A77" s="21">
        <f t="shared" si="70"/>
        <v>9</v>
      </c>
      <c r="B77" s="500" t="s">
        <v>1127</v>
      </c>
      <c r="C77" s="499" t="s">
        <v>1128</v>
      </c>
      <c r="D77" s="499"/>
      <c r="E77" s="499" t="s">
        <v>176</v>
      </c>
      <c r="F77" s="499" t="s">
        <v>54</v>
      </c>
      <c r="G77" s="501">
        <f t="shared" si="17"/>
        <v>158.5</v>
      </c>
      <c r="H77" s="501">
        <v>150</v>
      </c>
      <c r="I77" s="501">
        <v>8.5</v>
      </c>
      <c r="J77" s="466">
        <v>0</v>
      </c>
      <c r="K77" s="483">
        <f t="shared" si="65"/>
        <v>0</v>
      </c>
      <c r="L77" s="466"/>
      <c r="M77" s="466"/>
      <c r="N77" s="483"/>
      <c r="O77" s="466"/>
      <c r="P77" s="466"/>
      <c r="Q77" s="466">
        <f t="shared" si="66"/>
        <v>158.5</v>
      </c>
      <c r="R77" s="466">
        <v>150</v>
      </c>
      <c r="S77" s="466">
        <v>8.5</v>
      </c>
      <c r="T77" s="466"/>
      <c r="U77" s="451">
        <f t="shared" si="67"/>
        <v>158.5</v>
      </c>
      <c r="V77" s="451">
        <f t="shared" si="68"/>
        <v>150</v>
      </c>
      <c r="W77" s="451">
        <f t="shared" si="68"/>
        <v>8.5</v>
      </c>
      <c r="X77" s="445">
        <f t="shared" si="10"/>
        <v>0</v>
      </c>
      <c r="Y77" s="466"/>
      <c r="Z77" s="466"/>
      <c r="AA77" s="466"/>
      <c r="AB77" s="466"/>
      <c r="AC77" s="466"/>
      <c r="AD77" s="466">
        <f t="shared" si="75"/>
        <v>158.5</v>
      </c>
      <c r="AE77" s="466">
        <v>150</v>
      </c>
      <c r="AF77" s="466">
        <v>8.5</v>
      </c>
      <c r="AG77" s="466"/>
      <c r="AH77" s="466"/>
      <c r="AI77" s="466"/>
      <c r="AJ77" s="466"/>
      <c r="AK77" s="466"/>
      <c r="AL77" s="502"/>
      <c r="AM77" s="503"/>
      <c r="AN77" s="503"/>
      <c r="AO77" s="503"/>
    </row>
    <row r="78" spans="1:41" s="504" customFormat="1" ht="75" hidden="1">
      <c r="A78" s="21">
        <f t="shared" si="70"/>
        <v>10</v>
      </c>
      <c r="B78" s="500" t="s">
        <v>1129</v>
      </c>
      <c r="C78" s="499" t="s">
        <v>173</v>
      </c>
      <c r="D78" s="499"/>
      <c r="E78" s="134" t="s">
        <v>178</v>
      </c>
      <c r="F78" s="499" t="s">
        <v>54</v>
      </c>
      <c r="G78" s="501">
        <f t="shared" si="17"/>
        <v>274</v>
      </c>
      <c r="H78" s="501">
        <v>260</v>
      </c>
      <c r="I78" s="501">
        <v>14</v>
      </c>
      <c r="J78" s="466">
        <v>0</v>
      </c>
      <c r="K78" s="483">
        <f t="shared" si="65"/>
        <v>0</v>
      </c>
      <c r="L78" s="466"/>
      <c r="M78" s="466"/>
      <c r="N78" s="483"/>
      <c r="O78" s="466"/>
      <c r="P78" s="466"/>
      <c r="Q78" s="466">
        <f t="shared" si="66"/>
        <v>274</v>
      </c>
      <c r="R78" s="466">
        <v>260</v>
      </c>
      <c r="S78" s="466">
        <v>14</v>
      </c>
      <c r="T78" s="466"/>
      <c r="U78" s="451">
        <f t="shared" si="67"/>
        <v>274</v>
      </c>
      <c r="V78" s="451">
        <f t="shared" si="68"/>
        <v>260</v>
      </c>
      <c r="W78" s="451">
        <f t="shared" si="68"/>
        <v>14</v>
      </c>
      <c r="X78" s="445">
        <f t="shared" si="10"/>
        <v>0</v>
      </c>
      <c r="Y78" s="466"/>
      <c r="Z78" s="466"/>
      <c r="AA78" s="466"/>
      <c r="AB78" s="466"/>
      <c r="AC78" s="466"/>
      <c r="AD78" s="466">
        <f t="shared" si="75"/>
        <v>274</v>
      </c>
      <c r="AE78" s="466">
        <v>260</v>
      </c>
      <c r="AF78" s="466">
        <v>14</v>
      </c>
      <c r="AG78" s="466"/>
      <c r="AH78" s="466"/>
      <c r="AI78" s="466"/>
      <c r="AJ78" s="466"/>
      <c r="AK78" s="466"/>
      <c r="AL78" s="502"/>
      <c r="AM78" s="503"/>
      <c r="AN78" s="503"/>
      <c r="AO78" s="503"/>
    </row>
    <row r="79" spans="1:41" ht="30" hidden="1">
      <c r="A79" s="21">
        <f t="shared" si="70"/>
        <v>11</v>
      </c>
      <c r="B79" s="329" t="s">
        <v>179</v>
      </c>
      <c r="C79" s="21" t="s">
        <v>58</v>
      </c>
      <c r="D79" s="21"/>
      <c r="E79" s="21" t="s">
        <v>180</v>
      </c>
      <c r="F79" s="21" t="s">
        <v>55</v>
      </c>
      <c r="G79" s="445">
        <f t="shared" si="17"/>
        <v>996</v>
      </c>
      <c r="H79" s="445">
        <v>950</v>
      </c>
      <c r="I79" s="445">
        <v>46</v>
      </c>
      <c r="J79" s="451">
        <v>0</v>
      </c>
      <c r="K79" s="483">
        <f t="shared" si="65"/>
        <v>0</v>
      </c>
      <c r="L79" s="451"/>
      <c r="M79" s="451"/>
      <c r="N79" s="483"/>
      <c r="O79" s="451"/>
      <c r="P79" s="451"/>
      <c r="Q79" s="445">
        <f t="shared" ref="Q79:Q82" si="76">R79+S79</f>
        <v>996</v>
      </c>
      <c r="R79" s="445">
        <v>950</v>
      </c>
      <c r="S79" s="445">
        <v>46</v>
      </c>
      <c r="T79" s="451"/>
      <c r="U79" s="451">
        <f t="shared" si="67"/>
        <v>0</v>
      </c>
      <c r="V79" s="451">
        <f t="shared" si="68"/>
        <v>0</v>
      </c>
      <c r="W79" s="451">
        <f t="shared" si="68"/>
        <v>0</v>
      </c>
      <c r="X79" s="445">
        <f t="shared" si="10"/>
        <v>0</v>
      </c>
      <c r="Y79" s="451"/>
      <c r="Z79" s="451"/>
      <c r="AA79" s="451"/>
      <c r="AB79" s="483"/>
      <c r="AC79" s="483"/>
      <c r="AD79" s="451"/>
      <c r="AE79" s="483"/>
      <c r="AF79" s="483"/>
      <c r="AG79" s="445">
        <f t="shared" ref="AG79:AG82" si="77">AH79+AI79</f>
        <v>996</v>
      </c>
      <c r="AH79" s="445">
        <v>950</v>
      </c>
      <c r="AI79" s="445">
        <v>46</v>
      </c>
      <c r="AJ79" s="451"/>
      <c r="AK79" s="451"/>
      <c r="AL79" s="15"/>
    </row>
    <row r="80" spans="1:41" ht="75" hidden="1">
      <c r="A80" s="21">
        <f t="shared" si="70"/>
        <v>12</v>
      </c>
      <c r="B80" s="329" t="s">
        <v>181</v>
      </c>
      <c r="C80" s="21" t="s">
        <v>182</v>
      </c>
      <c r="D80" s="21"/>
      <c r="E80" s="21" t="s">
        <v>151</v>
      </c>
      <c r="F80" s="21" t="s">
        <v>55</v>
      </c>
      <c r="G80" s="445">
        <f t="shared" si="17"/>
        <v>996</v>
      </c>
      <c r="H80" s="445">
        <v>950</v>
      </c>
      <c r="I80" s="445">
        <v>46</v>
      </c>
      <c r="J80" s="451">
        <v>0</v>
      </c>
      <c r="K80" s="483">
        <f t="shared" si="65"/>
        <v>0</v>
      </c>
      <c r="L80" s="451"/>
      <c r="M80" s="451"/>
      <c r="N80" s="483"/>
      <c r="O80" s="451"/>
      <c r="P80" s="451"/>
      <c r="Q80" s="445">
        <f t="shared" si="76"/>
        <v>996</v>
      </c>
      <c r="R80" s="445">
        <v>950</v>
      </c>
      <c r="S80" s="445">
        <v>46</v>
      </c>
      <c r="T80" s="451"/>
      <c r="U80" s="451">
        <f t="shared" si="67"/>
        <v>0</v>
      </c>
      <c r="V80" s="451">
        <f t="shared" si="68"/>
        <v>0</v>
      </c>
      <c r="W80" s="451">
        <f t="shared" si="68"/>
        <v>0</v>
      </c>
      <c r="X80" s="445">
        <f t="shared" si="10"/>
        <v>0</v>
      </c>
      <c r="Y80" s="451"/>
      <c r="Z80" s="451"/>
      <c r="AA80" s="451"/>
      <c r="AB80" s="483"/>
      <c r="AC80" s="483"/>
      <c r="AD80" s="451"/>
      <c r="AE80" s="483"/>
      <c r="AF80" s="483"/>
      <c r="AG80" s="445">
        <f t="shared" si="77"/>
        <v>996</v>
      </c>
      <c r="AH80" s="445">
        <v>950</v>
      </c>
      <c r="AI80" s="445">
        <v>46</v>
      </c>
      <c r="AJ80" s="451"/>
      <c r="AK80" s="451"/>
      <c r="AL80" s="15"/>
    </row>
    <row r="81" spans="1:41" ht="75" hidden="1">
      <c r="A81" s="21">
        <f t="shared" si="70"/>
        <v>13</v>
      </c>
      <c r="B81" s="329" t="s">
        <v>183</v>
      </c>
      <c r="C81" s="21" t="s">
        <v>184</v>
      </c>
      <c r="D81" s="21"/>
      <c r="E81" s="21" t="s">
        <v>151</v>
      </c>
      <c r="F81" s="21" t="s">
        <v>55</v>
      </c>
      <c r="G81" s="445">
        <f t="shared" si="17"/>
        <v>741.8</v>
      </c>
      <c r="H81" s="445">
        <v>706.8</v>
      </c>
      <c r="I81" s="445">
        <v>35</v>
      </c>
      <c r="J81" s="451">
        <v>0</v>
      </c>
      <c r="K81" s="483">
        <f t="shared" si="65"/>
        <v>0</v>
      </c>
      <c r="L81" s="451"/>
      <c r="M81" s="451"/>
      <c r="N81" s="483"/>
      <c r="O81" s="451"/>
      <c r="P81" s="451"/>
      <c r="Q81" s="445">
        <f t="shared" si="76"/>
        <v>741.8</v>
      </c>
      <c r="R81" s="445">
        <v>706.8</v>
      </c>
      <c r="S81" s="445">
        <v>35</v>
      </c>
      <c r="T81" s="451"/>
      <c r="U81" s="451">
        <f t="shared" si="67"/>
        <v>0</v>
      </c>
      <c r="V81" s="451">
        <f t="shared" si="68"/>
        <v>0</v>
      </c>
      <c r="W81" s="451">
        <f t="shared" si="68"/>
        <v>0</v>
      </c>
      <c r="X81" s="445">
        <f t="shared" si="10"/>
        <v>0</v>
      </c>
      <c r="Y81" s="451"/>
      <c r="Z81" s="451"/>
      <c r="AA81" s="451"/>
      <c r="AB81" s="483"/>
      <c r="AC81" s="483"/>
      <c r="AD81" s="451"/>
      <c r="AE81" s="483"/>
      <c r="AF81" s="483"/>
      <c r="AG81" s="445">
        <f t="shared" si="77"/>
        <v>741.8</v>
      </c>
      <c r="AH81" s="445">
        <v>706.8</v>
      </c>
      <c r="AI81" s="445">
        <v>35</v>
      </c>
      <c r="AJ81" s="451"/>
      <c r="AK81" s="451"/>
      <c r="AL81" s="15"/>
    </row>
    <row r="82" spans="1:41" ht="45" hidden="1">
      <c r="A82" s="21">
        <f t="shared" si="70"/>
        <v>14</v>
      </c>
      <c r="B82" s="329" t="s">
        <v>1142</v>
      </c>
      <c r="C82" s="21" t="s">
        <v>1143</v>
      </c>
      <c r="D82" s="21"/>
      <c r="E82" s="21"/>
      <c r="F82" s="21" t="s">
        <v>55</v>
      </c>
      <c r="G82" s="445"/>
      <c r="H82" s="445"/>
      <c r="I82" s="445"/>
      <c r="J82" s="451"/>
      <c r="K82" s="483"/>
      <c r="L82" s="451"/>
      <c r="M82" s="451"/>
      <c r="N82" s="445">
        <f t="shared" ref="N82" si="78">O82+P82</f>
        <v>648.77559999999994</v>
      </c>
      <c r="O82" s="483">
        <v>642.63559999999995</v>
      </c>
      <c r="P82" s="483">
        <v>6.14</v>
      </c>
      <c r="Q82" s="445">
        <f t="shared" si="76"/>
        <v>648.77559999999994</v>
      </c>
      <c r="R82" s="483">
        <v>642.63559999999995</v>
      </c>
      <c r="S82" s="483">
        <v>6.14</v>
      </c>
      <c r="T82" s="533" t="s">
        <v>1166</v>
      </c>
      <c r="U82" s="451"/>
      <c r="V82" s="451"/>
      <c r="W82" s="451"/>
      <c r="X82" s="445"/>
      <c r="Y82" s="451"/>
      <c r="Z82" s="451"/>
      <c r="AA82" s="451"/>
      <c r="AB82" s="483"/>
      <c r="AC82" s="483"/>
      <c r="AD82" s="451"/>
      <c r="AE82" s="483"/>
      <c r="AF82" s="483"/>
      <c r="AG82" s="445">
        <f t="shared" si="77"/>
        <v>648.77559999999994</v>
      </c>
      <c r="AH82" s="483">
        <v>642.63559999999995</v>
      </c>
      <c r="AI82" s="483">
        <v>6.14</v>
      </c>
      <c r="AJ82" s="451"/>
      <c r="AK82" s="451"/>
      <c r="AL82" s="15"/>
    </row>
    <row r="83" spans="1:41" s="14" customFormat="1" ht="23.25" customHeight="1">
      <c r="A83" s="4" t="s">
        <v>992</v>
      </c>
      <c r="B83" s="507" t="s">
        <v>186</v>
      </c>
      <c r="C83" s="418"/>
      <c r="D83" s="418"/>
      <c r="E83" s="417">
        <v>0</v>
      </c>
      <c r="F83" s="417"/>
      <c r="G83" s="446">
        <f>SUM(G84:G103)</f>
        <v>10075.5</v>
      </c>
      <c r="H83" s="446">
        <f t="shared" ref="H83:S83" si="79">SUM(H84:H103)</f>
        <v>9595.69</v>
      </c>
      <c r="I83" s="446">
        <f t="shared" si="79"/>
        <v>479.81000000000006</v>
      </c>
      <c r="J83" s="446">
        <f t="shared" si="79"/>
        <v>0</v>
      </c>
      <c r="K83" s="446">
        <f t="shared" si="79"/>
        <v>749.07416000000001</v>
      </c>
      <c r="L83" s="446">
        <f t="shared" si="79"/>
        <v>731.67416000000003</v>
      </c>
      <c r="M83" s="446">
        <f t="shared" si="79"/>
        <v>17.399999999999999</v>
      </c>
      <c r="N83" s="446">
        <f t="shared" si="79"/>
        <v>749.07415999999989</v>
      </c>
      <c r="O83" s="446">
        <f t="shared" si="79"/>
        <v>731.67415999999992</v>
      </c>
      <c r="P83" s="446">
        <f t="shared" si="79"/>
        <v>17.399999999999999</v>
      </c>
      <c r="Q83" s="446">
        <f t="shared" si="79"/>
        <v>10075.500000000002</v>
      </c>
      <c r="R83" s="446">
        <f t="shared" si="79"/>
        <v>9595.69</v>
      </c>
      <c r="S83" s="446">
        <f t="shared" si="79"/>
        <v>479.81</v>
      </c>
      <c r="T83" s="446"/>
      <c r="U83" s="446">
        <f t="shared" ref="U83:AF83" si="80">SUM(U84:U102)</f>
        <v>6717.5758400000004</v>
      </c>
      <c r="V83" s="446">
        <f t="shared" si="80"/>
        <v>6370.3658400000004</v>
      </c>
      <c r="W83" s="446">
        <f t="shared" si="80"/>
        <v>347.21</v>
      </c>
      <c r="X83" s="446">
        <f t="shared" si="80"/>
        <v>1813.4</v>
      </c>
      <c r="Y83" s="446">
        <f t="shared" si="80"/>
        <v>1727.04</v>
      </c>
      <c r="Z83" s="446">
        <f t="shared" si="80"/>
        <v>86.36</v>
      </c>
      <c r="AA83" s="446">
        <f t="shared" si="80"/>
        <v>2430.8758399999997</v>
      </c>
      <c r="AB83" s="446">
        <f t="shared" si="80"/>
        <v>2305.9258399999999</v>
      </c>
      <c r="AC83" s="446">
        <f t="shared" si="80"/>
        <v>124.95</v>
      </c>
      <c r="AD83" s="446">
        <f t="shared" si="80"/>
        <v>2473.3000000000002</v>
      </c>
      <c r="AE83" s="446">
        <f t="shared" si="80"/>
        <v>2337.4</v>
      </c>
      <c r="AF83" s="446">
        <f t="shared" si="80"/>
        <v>135.9</v>
      </c>
      <c r="AG83" s="446">
        <f>SUM(AG84:AG103)</f>
        <v>3357.9241599999996</v>
      </c>
      <c r="AH83" s="446">
        <f>SUM(AH84:AH103)</f>
        <v>3225.3241600000001</v>
      </c>
      <c r="AI83" s="446">
        <f>SUM(AI84:AI103)</f>
        <v>132.6</v>
      </c>
      <c r="AJ83" s="446"/>
      <c r="AK83" s="446">
        <f>SUM(AK84:AK102)</f>
        <v>0</v>
      </c>
      <c r="AL83" s="16"/>
      <c r="AM83" s="368">
        <f>+'NĂM 2022'!K42+'NĂM 2023'!N40+'NĂM 2024'!J42+'NĂM 2025'!J39</f>
        <v>10075.540000000001</v>
      </c>
      <c r="AN83" s="368">
        <f>+'NĂM 2022'!L42+'NĂM 2023'!O40+'NĂM 2024'!K42+'NĂM 2025'!K39</f>
        <v>9595.74</v>
      </c>
      <c r="AO83" s="368">
        <f>+'NĂM 2022'!M42+'NĂM 2023'!P40+'NĂM 2024'!L42+'NĂM 2025'!L39</f>
        <v>479.8</v>
      </c>
    </row>
    <row r="84" spans="1:41" s="146" customFormat="1" ht="75" hidden="1">
      <c r="A84" s="141">
        <v>1</v>
      </c>
      <c r="B84" s="330" t="s">
        <v>187</v>
      </c>
      <c r="C84" s="141" t="s">
        <v>188</v>
      </c>
      <c r="D84" s="141"/>
      <c r="E84" s="141" t="s">
        <v>189</v>
      </c>
      <c r="F84" s="142" t="s">
        <v>52</v>
      </c>
      <c r="G84" s="447">
        <f t="shared" si="17"/>
        <v>395.85</v>
      </c>
      <c r="H84" s="447">
        <v>377</v>
      </c>
      <c r="I84" s="447">
        <v>18.850000000000001</v>
      </c>
      <c r="J84" s="448"/>
      <c r="K84" s="483">
        <f>+G84-Q84</f>
        <v>0</v>
      </c>
      <c r="L84" s="448"/>
      <c r="M84" s="448"/>
      <c r="N84" s="483"/>
      <c r="O84" s="448"/>
      <c r="P84" s="448"/>
      <c r="Q84" s="466">
        <v>395.85</v>
      </c>
      <c r="R84" s="448">
        <v>377</v>
      </c>
      <c r="S84" s="448">
        <v>18.850000000000001</v>
      </c>
      <c r="T84" s="448"/>
      <c r="U84" s="448">
        <f>+V84+W84</f>
        <v>395.85</v>
      </c>
      <c r="V84" s="448">
        <f>+Y84+AB84+AE84</f>
        <v>377</v>
      </c>
      <c r="W84" s="448">
        <f>+Z84+AC84+AF84</f>
        <v>18.850000000000001</v>
      </c>
      <c r="X84" s="445">
        <f t="shared" si="10"/>
        <v>395.85</v>
      </c>
      <c r="Y84" s="447">
        <v>377</v>
      </c>
      <c r="Z84" s="447">
        <v>18.850000000000001</v>
      </c>
      <c r="AA84" s="447"/>
      <c r="AB84" s="481"/>
      <c r="AC84" s="481"/>
      <c r="AD84" s="447"/>
      <c r="AE84" s="481"/>
      <c r="AF84" s="481"/>
      <c r="AG84" s="447"/>
      <c r="AH84" s="481"/>
      <c r="AI84" s="481"/>
      <c r="AJ84" s="447"/>
      <c r="AK84" s="448"/>
      <c r="AL84" s="145"/>
      <c r="AM84" s="369">
        <f>+G83-U83</f>
        <v>3357.9241599999996</v>
      </c>
      <c r="AN84" s="369">
        <f>+H83-V83</f>
        <v>3225.3241600000001</v>
      </c>
      <c r="AO84" s="369">
        <f>+I83-W83</f>
        <v>132.60000000000008</v>
      </c>
    </row>
    <row r="85" spans="1:41" s="146" customFormat="1" ht="75" hidden="1">
      <c r="A85" s="141">
        <v>2</v>
      </c>
      <c r="B85" s="331" t="s">
        <v>190</v>
      </c>
      <c r="C85" s="147" t="s">
        <v>191</v>
      </c>
      <c r="D85" s="147"/>
      <c r="E85" s="147" t="s">
        <v>192</v>
      </c>
      <c r="F85" s="142" t="s">
        <v>52</v>
      </c>
      <c r="G85" s="447">
        <f t="shared" si="17"/>
        <v>577.5</v>
      </c>
      <c r="H85" s="447">
        <v>550</v>
      </c>
      <c r="I85" s="447">
        <v>27.5</v>
      </c>
      <c r="J85" s="448"/>
      <c r="K85" s="483">
        <f t="shared" ref="K85:K102" si="81">+G85-Q85</f>
        <v>0</v>
      </c>
      <c r="L85" s="448"/>
      <c r="M85" s="448"/>
      <c r="N85" s="483"/>
      <c r="O85" s="448"/>
      <c r="P85" s="448"/>
      <c r="Q85" s="466">
        <v>577.5</v>
      </c>
      <c r="R85" s="448">
        <v>550</v>
      </c>
      <c r="S85" s="448">
        <v>27.5</v>
      </c>
      <c r="T85" s="448"/>
      <c r="U85" s="448">
        <f t="shared" ref="U85:U102" si="82">+V85+W85</f>
        <v>577.5</v>
      </c>
      <c r="V85" s="448">
        <f t="shared" ref="V85:W102" si="83">+Y85+AB85+AE85</f>
        <v>550</v>
      </c>
      <c r="W85" s="448">
        <f t="shared" si="83"/>
        <v>27.5</v>
      </c>
      <c r="X85" s="445">
        <f t="shared" si="10"/>
        <v>577.5</v>
      </c>
      <c r="Y85" s="447">
        <v>550</v>
      </c>
      <c r="Z85" s="447">
        <v>27.5</v>
      </c>
      <c r="AA85" s="447"/>
      <c r="AB85" s="481"/>
      <c r="AC85" s="481"/>
      <c r="AD85" s="447"/>
      <c r="AE85" s="481"/>
      <c r="AF85" s="481"/>
      <c r="AG85" s="447"/>
      <c r="AH85" s="481"/>
      <c r="AI85" s="481"/>
      <c r="AJ85" s="447"/>
      <c r="AK85" s="448"/>
      <c r="AL85" s="145"/>
      <c r="AM85" s="465">
        <f>+AM84-AG83</f>
        <v>0</v>
      </c>
      <c r="AN85" s="465">
        <f t="shared" ref="AN85:AO85" si="84">+AN84-AH83</f>
        <v>0</v>
      </c>
      <c r="AO85" s="465">
        <f t="shared" si="84"/>
        <v>0</v>
      </c>
    </row>
    <row r="86" spans="1:41" s="146" customFormat="1" ht="75" hidden="1">
      <c r="A86" s="141">
        <v>3</v>
      </c>
      <c r="B86" s="330" t="s">
        <v>193</v>
      </c>
      <c r="C86" s="141" t="s">
        <v>194</v>
      </c>
      <c r="D86" s="141"/>
      <c r="E86" s="141" t="s">
        <v>110</v>
      </c>
      <c r="F86" s="142" t="s">
        <v>52</v>
      </c>
      <c r="G86" s="447">
        <f t="shared" si="17"/>
        <v>840.05</v>
      </c>
      <c r="H86" s="447">
        <v>800.04</v>
      </c>
      <c r="I86" s="447">
        <v>40.01</v>
      </c>
      <c r="J86" s="448"/>
      <c r="K86" s="483">
        <f t="shared" si="81"/>
        <v>0</v>
      </c>
      <c r="L86" s="448"/>
      <c r="M86" s="448"/>
      <c r="N86" s="483"/>
      <c r="O86" s="448"/>
      <c r="P86" s="448"/>
      <c r="Q86" s="466">
        <v>840.05</v>
      </c>
      <c r="R86" s="448">
        <v>800.04</v>
      </c>
      <c r="S86" s="448">
        <v>40.01</v>
      </c>
      <c r="T86" s="448"/>
      <c r="U86" s="448">
        <f t="shared" si="82"/>
        <v>840.05</v>
      </c>
      <c r="V86" s="448">
        <f t="shared" si="83"/>
        <v>800.04</v>
      </c>
      <c r="W86" s="448">
        <f t="shared" si="83"/>
        <v>40.01</v>
      </c>
      <c r="X86" s="445">
        <f t="shared" si="10"/>
        <v>840.05</v>
      </c>
      <c r="Y86" s="447">
        <v>800.04</v>
      </c>
      <c r="Z86" s="447">
        <v>40.01</v>
      </c>
      <c r="AA86" s="447"/>
      <c r="AB86" s="481"/>
      <c r="AC86" s="481"/>
      <c r="AD86" s="447"/>
      <c r="AE86" s="481"/>
      <c r="AF86" s="481"/>
      <c r="AG86" s="447"/>
      <c r="AH86" s="481"/>
      <c r="AI86" s="481"/>
      <c r="AJ86" s="447"/>
      <c r="AK86" s="448"/>
      <c r="AL86" s="145"/>
      <c r="AM86" s="369"/>
      <c r="AN86" s="369"/>
      <c r="AO86" s="369"/>
    </row>
    <row r="87" spans="1:41" ht="75" hidden="1">
      <c r="A87" s="8">
        <v>4</v>
      </c>
      <c r="B87" s="328" t="s">
        <v>195</v>
      </c>
      <c r="C87" s="8" t="s">
        <v>196</v>
      </c>
      <c r="D87" s="8"/>
      <c r="E87" s="22" t="s">
        <v>798</v>
      </c>
      <c r="F87" s="21" t="s">
        <v>53</v>
      </c>
      <c r="G87" s="445">
        <f t="shared" si="17"/>
        <v>414.75</v>
      </c>
      <c r="H87" s="445">
        <v>395</v>
      </c>
      <c r="I87" s="445">
        <f>H87*5%</f>
        <v>19.75</v>
      </c>
      <c r="J87" s="451"/>
      <c r="K87" s="483">
        <f>+L87+M87</f>
        <v>146</v>
      </c>
      <c r="L87" s="451">
        <f>+H87-R87</f>
        <v>140</v>
      </c>
      <c r="M87" s="451">
        <f>+I87-S87</f>
        <v>6</v>
      </c>
      <c r="N87" s="483"/>
      <c r="O87" s="451"/>
      <c r="P87" s="451"/>
      <c r="Q87" s="466">
        <v>268.75</v>
      </c>
      <c r="R87" s="451">
        <v>255</v>
      </c>
      <c r="S87" s="451">
        <v>13.75</v>
      </c>
      <c r="T87" s="451"/>
      <c r="U87" s="448">
        <f t="shared" si="82"/>
        <v>268.75</v>
      </c>
      <c r="V87" s="448">
        <f t="shared" si="83"/>
        <v>255</v>
      </c>
      <c r="W87" s="448">
        <f t="shared" si="83"/>
        <v>13.75</v>
      </c>
      <c r="X87" s="445">
        <f t="shared" si="10"/>
        <v>0</v>
      </c>
      <c r="Y87" s="451"/>
      <c r="Z87" s="451"/>
      <c r="AA87" s="451">
        <f>+AB87+AC87</f>
        <v>268.75</v>
      </c>
      <c r="AB87" s="483">
        <v>255</v>
      </c>
      <c r="AC87" s="483">
        <v>13.75</v>
      </c>
      <c r="AD87" s="451"/>
      <c r="AE87" s="483"/>
      <c r="AF87" s="483"/>
      <c r="AG87" s="451"/>
      <c r="AH87" s="483"/>
      <c r="AI87" s="483"/>
      <c r="AJ87" s="451"/>
      <c r="AK87" s="451"/>
      <c r="AL87" s="8"/>
    </row>
    <row r="88" spans="1:41" ht="75" hidden="1">
      <c r="A88" s="8">
        <v>5</v>
      </c>
      <c r="B88" s="328" t="s">
        <v>198</v>
      </c>
      <c r="C88" s="8" t="s">
        <v>199</v>
      </c>
      <c r="D88" s="8"/>
      <c r="E88" s="22" t="s">
        <v>200</v>
      </c>
      <c r="F88" s="21" t="s">
        <v>53</v>
      </c>
      <c r="G88" s="445">
        <f t="shared" ref="G88:G160" si="85">H88+I88</f>
        <v>1575</v>
      </c>
      <c r="H88" s="445">
        <v>1500</v>
      </c>
      <c r="I88" s="445">
        <v>75</v>
      </c>
      <c r="J88" s="451">
        <v>0</v>
      </c>
      <c r="K88" s="483">
        <f t="shared" ref="K88:K91" si="86">+L88+M88</f>
        <v>59.374160000000074</v>
      </c>
      <c r="L88" s="451">
        <f t="shared" ref="L88:M91" si="87">+H88-R88</f>
        <v>59.374160000000074</v>
      </c>
      <c r="M88" s="451"/>
      <c r="N88" s="483">
        <f>+O88+P88</f>
        <v>3.2999999999999972</v>
      </c>
      <c r="O88" s="451"/>
      <c r="P88" s="451">
        <f>+S88-I88</f>
        <v>3.2999999999999972</v>
      </c>
      <c r="Q88" s="466">
        <v>1518.9258399999999</v>
      </c>
      <c r="R88" s="451">
        <v>1440.6258399999999</v>
      </c>
      <c r="S88" s="451">
        <v>78.3</v>
      </c>
      <c r="T88" s="451"/>
      <c r="U88" s="448">
        <f t="shared" si="82"/>
        <v>1518.9258399999999</v>
      </c>
      <c r="V88" s="448">
        <f t="shared" si="83"/>
        <v>1440.6258399999999</v>
      </c>
      <c r="W88" s="448">
        <f t="shared" si="83"/>
        <v>78.3</v>
      </c>
      <c r="X88" s="445">
        <f t="shared" ref="X88:X160" si="88">Y88+Z88</f>
        <v>0</v>
      </c>
      <c r="Y88" s="451"/>
      <c r="Z88" s="451"/>
      <c r="AA88" s="451">
        <f>+AB88+AC88</f>
        <v>1518.9258399999999</v>
      </c>
      <c r="AB88" s="483">
        <f>1450-9.37416</f>
        <v>1440.6258399999999</v>
      </c>
      <c r="AC88" s="483">
        <v>78.3</v>
      </c>
      <c r="AD88" s="451"/>
      <c r="AE88" s="483"/>
      <c r="AF88" s="483"/>
      <c r="AG88" s="451"/>
      <c r="AH88" s="483"/>
      <c r="AI88" s="483"/>
      <c r="AJ88" s="451"/>
      <c r="AK88" s="451"/>
      <c r="AL88" s="8"/>
    </row>
    <row r="89" spans="1:41" ht="30" hidden="1">
      <c r="A89" s="8">
        <v>6</v>
      </c>
      <c r="B89" s="328" t="s">
        <v>799</v>
      </c>
      <c r="C89" s="8" t="s">
        <v>800</v>
      </c>
      <c r="D89" s="8"/>
      <c r="E89" s="8" t="s">
        <v>801</v>
      </c>
      <c r="F89" s="21" t="s">
        <v>53</v>
      </c>
      <c r="G89" s="445">
        <f>H89+I89</f>
        <v>504</v>
      </c>
      <c r="H89" s="445">
        <v>480</v>
      </c>
      <c r="I89" s="445">
        <f>H89*5%</f>
        <v>24</v>
      </c>
      <c r="J89" s="451"/>
      <c r="K89" s="483">
        <f t="shared" si="86"/>
        <v>103.5</v>
      </c>
      <c r="L89" s="451">
        <f t="shared" si="87"/>
        <v>100</v>
      </c>
      <c r="M89" s="451">
        <f t="shared" si="87"/>
        <v>3.5</v>
      </c>
      <c r="N89" s="483"/>
      <c r="O89" s="451"/>
      <c r="P89" s="451"/>
      <c r="Q89" s="466">
        <v>400.5</v>
      </c>
      <c r="R89" s="451">
        <v>380</v>
      </c>
      <c r="S89" s="451">
        <v>20.5</v>
      </c>
      <c r="T89" s="451"/>
      <c r="U89" s="448">
        <f t="shared" si="82"/>
        <v>400.5</v>
      </c>
      <c r="V89" s="448">
        <f t="shared" si="83"/>
        <v>380</v>
      </c>
      <c r="W89" s="448">
        <f t="shared" si="83"/>
        <v>20.5</v>
      </c>
      <c r="X89" s="445">
        <f t="shared" si="88"/>
        <v>0</v>
      </c>
      <c r="Y89" s="451"/>
      <c r="Z89" s="451"/>
      <c r="AA89" s="451">
        <f>+AB89+AC89</f>
        <v>400.5</v>
      </c>
      <c r="AB89" s="483">
        <v>380</v>
      </c>
      <c r="AC89" s="483">
        <v>20.5</v>
      </c>
      <c r="AD89" s="451"/>
      <c r="AE89" s="483"/>
      <c r="AF89" s="483"/>
      <c r="AG89" s="451"/>
      <c r="AH89" s="483"/>
      <c r="AI89" s="483"/>
      <c r="AJ89" s="451"/>
      <c r="AK89" s="451"/>
      <c r="AL89" s="15"/>
    </row>
    <row r="90" spans="1:41" ht="75" hidden="1">
      <c r="A90" s="8">
        <v>7</v>
      </c>
      <c r="B90" s="328" t="s">
        <v>209</v>
      </c>
      <c r="C90" s="8" t="s">
        <v>210</v>
      </c>
      <c r="D90" s="8"/>
      <c r="E90" s="8" t="s">
        <v>211</v>
      </c>
      <c r="F90" s="21" t="s">
        <v>53</v>
      </c>
      <c r="G90" s="445">
        <f>H90+I90</f>
        <v>315</v>
      </c>
      <c r="H90" s="445">
        <v>300</v>
      </c>
      <c r="I90" s="445">
        <f>H90*5%</f>
        <v>15</v>
      </c>
      <c r="J90" s="451"/>
      <c r="K90" s="483">
        <f t="shared" si="86"/>
        <v>72.299999999999983</v>
      </c>
      <c r="L90" s="451">
        <f t="shared" si="87"/>
        <v>69.699999999999989</v>
      </c>
      <c r="M90" s="451">
        <f t="shared" si="87"/>
        <v>2.5999999999999996</v>
      </c>
      <c r="N90" s="483"/>
      <c r="O90" s="451"/>
      <c r="P90" s="451"/>
      <c r="Q90" s="466">
        <v>242.70000000000002</v>
      </c>
      <c r="R90" s="451">
        <v>230.3</v>
      </c>
      <c r="S90" s="451">
        <v>12.4</v>
      </c>
      <c r="T90" s="451"/>
      <c r="U90" s="448">
        <f t="shared" si="82"/>
        <v>242.70000000000002</v>
      </c>
      <c r="V90" s="448">
        <f t="shared" si="83"/>
        <v>230.3</v>
      </c>
      <c r="W90" s="448">
        <f t="shared" si="83"/>
        <v>12.4</v>
      </c>
      <c r="X90" s="445"/>
      <c r="Y90" s="451"/>
      <c r="Z90" s="451"/>
      <c r="AA90" s="451">
        <f>+AB90+AC90</f>
        <v>242.70000000000002</v>
      </c>
      <c r="AB90" s="483">
        <v>230.3</v>
      </c>
      <c r="AC90" s="483">
        <v>12.4</v>
      </c>
      <c r="AD90" s="451"/>
      <c r="AE90" s="483"/>
      <c r="AF90" s="483"/>
      <c r="AG90" s="451"/>
      <c r="AH90" s="483"/>
      <c r="AI90" s="483"/>
      <c r="AJ90" s="451"/>
      <c r="AK90" s="451"/>
      <c r="AL90" s="15"/>
    </row>
    <row r="91" spans="1:41" ht="45" hidden="1">
      <c r="A91" s="8">
        <v>8</v>
      </c>
      <c r="B91" s="328" t="s">
        <v>203</v>
      </c>
      <c r="C91" s="8" t="s">
        <v>204</v>
      </c>
      <c r="D91" s="8"/>
      <c r="E91" s="8" t="s">
        <v>205</v>
      </c>
      <c r="F91" s="21" t="s">
        <v>54</v>
      </c>
      <c r="G91" s="445">
        <f t="shared" si="85"/>
        <v>630</v>
      </c>
      <c r="H91" s="445">
        <v>600</v>
      </c>
      <c r="I91" s="445">
        <f>H91*5%</f>
        <v>30</v>
      </c>
      <c r="J91" s="451">
        <v>0</v>
      </c>
      <c r="K91" s="483">
        <f t="shared" si="86"/>
        <v>180</v>
      </c>
      <c r="L91" s="451">
        <f t="shared" si="87"/>
        <v>174.7</v>
      </c>
      <c r="M91" s="451">
        <f t="shared" si="87"/>
        <v>5.3000000000000007</v>
      </c>
      <c r="N91" s="483"/>
      <c r="O91" s="451"/>
      <c r="P91" s="451"/>
      <c r="Q91" s="466">
        <v>450</v>
      </c>
      <c r="R91" s="451">
        <v>425.3</v>
      </c>
      <c r="S91" s="451">
        <v>24.7</v>
      </c>
      <c r="T91" s="451"/>
      <c r="U91" s="448">
        <f t="shared" si="82"/>
        <v>450</v>
      </c>
      <c r="V91" s="448">
        <f t="shared" si="83"/>
        <v>425.3</v>
      </c>
      <c r="W91" s="448">
        <f t="shared" si="83"/>
        <v>24.7</v>
      </c>
      <c r="X91" s="445">
        <f t="shared" si="88"/>
        <v>0</v>
      </c>
      <c r="Y91" s="451"/>
      <c r="Z91" s="451"/>
      <c r="AA91" s="451"/>
      <c r="AB91" s="483"/>
      <c r="AC91" s="483"/>
      <c r="AD91" s="451">
        <f>+AE91+AF91</f>
        <v>450</v>
      </c>
      <c r="AE91" s="483">
        <v>425.3</v>
      </c>
      <c r="AF91" s="483">
        <v>24.7</v>
      </c>
      <c r="AG91" s="451"/>
      <c r="AH91" s="483"/>
      <c r="AI91" s="483"/>
      <c r="AJ91" s="451"/>
      <c r="AK91" s="451"/>
      <c r="AL91" s="8"/>
    </row>
    <row r="92" spans="1:41" ht="75" hidden="1">
      <c r="A92" s="8">
        <v>9</v>
      </c>
      <c r="B92" s="360" t="s">
        <v>206</v>
      </c>
      <c r="C92" s="8" t="s">
        <v>196</v>
      </c>
      <c r="D92" s="8"/>
      <c r="E92" s="8" t="s">
        <v>178</v>
      </c>
      <c r="F92" s="21" t="s">
        <v>54</v>
      </c>
      <c r="G92" s="445">
        <f t="shared" si="85"/>
        <v>210</v>
      </c>
      <c r="H92" s="445">
        <v>200</v>
      </c>
      <c r="I92" s="445">
        <v>10</v>
      </c>
      <c r="J92" s="451"/>
      <c r="K92" s="483">
        <f>+L92+M92</f>
        <v>1.5</v>
      </c>
      <c r="L92" s="451">
        <f>+H92-R92</f>
        <v>1.5</v>
      </c>
      <c r="M92" s="451"/>
      <c r="N92" s="483">
        <f>+O92+P92</f>
        <v>1.5</v>
      </c>
      <c r="O92" s="451"/>
      <c r="P92" s="451">
        <f>+S92-I92</f>
        <v>1.5</v>
      </c>
      <c r="Q92" s="466">
        <v>210</v>
      </c>
      <c r="R92" s="451">
        <v>198.5</v>
      </c>
      <c r="S92" s="451">
        <v>11.5</v>
      </c>
      <c r="T92" s="451"/>
      <c r="U92" s="448">
        <f t="shared" si="82"/>
        <v>210</v>
      </c>
      <c r="V92" s="448">
        <f t="shared" si="83"/>
        <v>198.5</v>
      </c>
      <c r="W92" s="448">
        <f t="shared" si="83"/>
        <v>11.5</v>
      </c>
      <c r="X92" s="445">
        <f t="shared" si="88"/>
        <v>0</v>
      </c>
      <c r="Y92" s="451"/>
      <c r="Z92" s="451"/>
      <c r="AA92" s="493"/>
      <c r="AB92" s="494"/>
      <c r="AC92" s="494"/>
      <c r="AD92" s="451">
        <f>+AE92+AF92</f>
        <v>210</v>
      </c>
      <c r="AE92" s="483">
        <v>198.5</v>
      </c>
      <c r="AF92" s="483">
        <v>11.5</v>
      </c>
      <c r="AG92" s="451"/>
      <c r="AH92" s="483"/>
      <c r="AI92" s="483"/>
      <c r="AJ92" s="451"/>
      <c r="AK92" s="451"/>
      <c r="AL92" s="8"/>
    </row>
    <row r="93" spans="1:41" ht="75" hidden="1">
      <c r="A93" s="8">
        <v>10</v>
      </c>
      <c r="B93" s="360" t="s">
        <v>207</v>
      </c>
      <c r="C93" s="8" t="s">
        <v>194</v>
      </c>
      <c r="D93" s="8"/>
      <c r="E93" s="8" t="s">
        <v>208</v>
      </c>
      <c r="F93" s="21" t="s">
        <v>54</v>
      </c>
      <c r="G93" s="445">
        <f t="shared" si="85"/>
        <v>420</v>
      </c>
      <c r="H93" s="445">
        <v>400</v>
      </c>
      <c r="I93" s="445">
        <f>H93*5%</f>
        <v>20</v>
      </c>
      <c r="J93" s="451"/>
      <c r="K93" s="483">
        <f t="shared" ref="K93:K95" si="89">+L93+M93</f>
        <v>22</v>
      </c>
      <c r="L93" s="451">
        <f t="shared" ref="L93:L95" si="90">+H93-R93</f>
        <v>22</v>
      </c>
      <c r="M93" s="451"/>
      <c r="N93" s="483">
        <f t="shared" ref="N93:N95" si="91">+O93+P93</f>
        <v>2</v>
      </c>
      <c r="O93" s="451"/>
      <c r="P93" s="451">
        <f t="shared" ref="P93:P95" si="92">+S93-I93</f>
        <v>2</v>
      </c>
      <c r="Q93" s="466">
        <v>400</v>
      </c>
      <c r="R93" s="451">
        <v>378</v>
      </c>
      <c r="S93" s="451">
        <v>22</v>
      </c>
      <c r="T93" s="451"/>
      <c r="U93" s="448">
        <f t="shared" si="82"/>
        <v>400</v>
      </c>
      <c r="V93" s="448">
        <f t="shared" si="83"/>
        <v>378</v>
      </c>
      <c r="W93" s="448">
        <f t="shared" si="83"/>
        <v>22</v>
      </c>
      <c r="X93" s="445">
        <f t="shared" si="88"/>
        <v>0</v>
      </c>
      <c r="Y93" s="451"/>
      <c r="Z93" s="451"/>
      <c r="AA93" s="493"/>
      <c r="AB93" s="494"/>
      <c r="AC93" s="494"/>
      <c r="AD93" s="451">
        <f>+AE93+AF93</f>
        <v>400</v>
      </c>
      <c r="AE93" s="483">
        <v>378</v>
      </c>
      <c r="AF93" s="483">
        <v>22</v>
      </c>
      <c r="AG93" s="451"/>
      <c r="AH93" s="483"/>
      <c r="AI93" s="483"/>
      <c r="AJ93" s="451"/>
      <c r="AK93" s="451"/>
      <c r="AL93" s="8"/>
    </row>
    <row r="94" spans="1:41" ht="60" hidden="1">
      <c r="A94" s="8">
        <v>11</v>
      </c>
      <c r="B94" s="328" t="s">
        <v>212</v>
      </c>
      <c r="C94" s="8" t="s">
        <v>213</v>
      </c>
      <c r="D94" s="8"/>
      <c r="E94" s="8" t="s">
        <v>214</v>
      </c>
      <c r="F94" s="21" t="s">
        <v>54</v>
      </c>
      <c r="G94" s="445">
        <f t="shared" si="85"/>
        <v>1260</v>
      </c>
      <c r="H94" s="445">
        <v>1200</v>
      </c>
      <c r="I94" s="445">
        <v>60</v>
      </c>
      <c r="J94" s="451"/>
      <c r="K94" s="483">
        <f t="shared" si="89"/>
        <v>160.5</v>
      </c>
      <c r="L94" s="451">
        <f t="shared" si="90"/>
        <v>160.5</v>
      </c>
      <c r="M94" s="451"/>
      <c r="N94" s="483">
        <f t="shared" si="91"/>
        <v>0.5</v>
      </c>
      <c r="O94" s="451"/>
      <c r="P94" s="451">
        <f t="shared" si="92"/>
        <v>0.5</v>
      </c>
      <c r="Q94" s="466">
        <v>1100</v>
      </c>
      <c r="R94" s="451">
        <v>1039.5</v>
      </c>
      <c r="S94" s="451">
        <v>60.5</v>
      </c>
      <c r="T94" s="451"/>
      <c r="U94" s="448">
        <f t="shared" si="82"/>
        <v>1100</v>
      </c>
      <c r="V94" s="448">
        <f t="shared" si="83"/>
        <v>1039.5</v>
      </c>
      <c r="W94" s="448">
        <f t="shared" si="83"/>
        <v>60.5</v>
      </c>
      <c r="X94" s="445">
        <f t="shared" si="88"/>
        <v>0</v>
      </c>
      <c r="Y94" s="451"/>
      <c r="Z94" s="451"/>
      <c r="AA94" s="493"/>
      <c r="AB94" s="494"/>
      <c r="AC94" s="494"/>
      <c r="AD94" s="451">
        <f t="shared" ref="AD94:AD95" si="93">+AE94+AF94</f>
        <v>1100</v>
      </c>
      <c r="AE94" s="483">
        <v>1039.5</v>
      </c>
      <c r="AF94" s="483">
        <v>60.5</v>
      </c>
      <c r="AG94" s="451"/>
      <c r="AH94" s="483"/>
      <c r="AI94" s="483"/>
      <c r="AJ94" s="451"/>
      <c r="AK94" s="451"/>
      <c r="AL94" s="8"/>
    </row>
    <row r="95" spans="1:41" ht="45" hidden="1">
      <c r="A95" s="8">
        <v>12</v>
      </c>
      <c r="B95" s="328" t="s">
        <v>215</v>
      </c>
      <c r="C95" s="8" t="s">
        <v>210</v>
      </c>
      <c r="D95" s="8"/>
      <c r="E95" s="8" t="s">
        <v>216</v>
      </c>
      <c r="F95" s="21" t="s">
        <v>54</v>
      </c>
      <c r="G95" s="445">
        <f t="shared" si="85"/>
        <v>315</v>
      </c>
      <c r="H95" s="445">
        <v>300</v>
      </c>
      <c r="I95" s="445">
        <v>15</v>
      </c>
      <c r="J95" s="451"/>
      <c r="K95" s="483">
        <f t="shared" si="89"/>
        <v>3.8999999999999773</v>
      </c>
      <c r="L95" s="451">
        <f t="shared" si="90"/>
        <v>3.8999999999999773</v>
      </c>
      <c r="M95" s="451"/>
      <c r="N95" s="483">
        <f t="shared" si="91"/>
        <v>2.1999999999999993</v>
      </c>
      <c r="O95" s="451"/>
      <c r="P95" s="451">
        <f t="shared" si="92"/>
        <v>2.1999999999999993</v>
      </c>
      <c r="Q95" s="466">
        <v>313.3</v>
      </c>
      <c r="R95" s="451">
        <v>296.10000000000002</v>
      </c>
      <c r="S95" s="451">
        <v>17.2</v>
      </c>
      <c r="T95" s="451"/>
      <c r="U95" s="448">
        <f t="shared" si="82"/>
        <v>313.3</v>
      </c>
      <c r="V95" s="448">
        <f t="shared" si="83"/>
        <v>296.10000000000002</v>
      </c>
      <c r="W95" s="448">
        <f t="shared" si="83"/>
        <v>17.2</v>
      </c>
      <c r="X95" s="445">
        <f t="shared" si="88"/>
        <v>0</v>
      </c>
      <c r="Y95" s="451"/>
      <c r="Z95" s="451"/>
      <c r="AA95" s="493"/>
      <c r="AB95" s="494"/>
      <c r="AC95" s="494"/>
      <c r="AD95" s="451">
        <f t="shared" si="93"/>
        <v>313.3</v>
      </c>
      <c r="AE95" s="483">
        <v>296.10000000000002</v>
      </c>
      <c r="AF95" s="483">
        <v>17.2</v>
      </c>
      <c r="AG95" s="451"/>
      <c r="AH95" s="483"/>
      <c r="AI95" s="483"/>
      <c r="AJ95" s="451"/>
      <c r="AK95" s="451"/>
      <c r="AL95" s="8"/>
    </row>
    <row r="96" spans="1:41" ht="45" hidden="1">
      <c r="A96" s="8">
        <v>13</v>
      </c>
      <c r="B96" s="382" t="s">
        <v>217</v>
      </c>
      <c r="C96" s="383" t="s">
        <v>218</v>
      </c>
      <c r="D96" s="383"/>
      <c r="E96" s="22" t="s">
        <v>219</v>
      </c>
      <c r="F96" s="21" t="s">
        <v>55</v>
      </c>
      <c r="G96" s="445">
        <f t="shared" si="85"/>
        <v>630</v>
      </c>
      <c r="H96" s="445">
        <v>600</v>
      </c>
      <c r="I96" s="445">
        <v>30</v>
      </c>
      <c r="J96" s="451"/>
      <c r="K96" s="483">
        <f t="shared" si="81"/>
        <v>0</v>
      </c>
      <c r="L96" s="451"/>
      <c r="M96" s="451"/>
      <c r="N96" s="483"/>
      <c r="O96" s="451"/>
      <c r="P96" s="451"/>
      <c r="Q96" s="445">
        <f t="shared" ref="Q96" si="94">R96+S96</f>
        <v>630</v>
      </c>
      <c r="R96" s="445">
        <v>600</v>
      </c>
      <c r="S96" s="445">
        <v>30</v>
      </c>
      <c r="T96" s="451"/>
      <c r="U96" s="448">
        <f t="shared" si="82"/>
        <v>0</v>
      </c>
      <c r="V96" s="448">
        <f t="shared" si="83"/>
        <v>0</v>
      </c>
      <c r="W96" s="448">
        <f t="shared" si="83"/>
        <v>0</v>
      </c>
      <c r="X96" s="445">
        <f t="shared" si="88"/>
        <v>0</v>
      </c>
      <c r="Y96" s="451"/>
      <c r="Z96" s="451"/>
      <c r="AA96" s="451"/>
      <c r="AB96" s="483"/>
      <c r="AC96" s="483"/>
      <c r="AD96" s="451"/>
      <c r="AE96" s="483"/>
      <c r="AF96" s="483"/>
      <c r="AG96" s="445">
        <f t="shared" ref="AG96" si="95">AH96+AI96</f>
        <v>630</v>
      </c>
      <c r="AH96" s="445">
        <v>600</v>
      </c>
      <c r="AI96" s="445">
        <v>30</v>
      </c>
      <c r="AJ96" s="451"/>
      <c r="AK96" s="451"/>
      <c r="AL96" s="8"/>
    </row>
    <row r="97" spans="1:41" ht="60" hidden="1">
      <c r="A97" s="8">
        <f>+A96+1</f>
        <v>14</v>
      </c>
      <c r="B97" s="495" t="s">
        <v>1113</v>
      </c>
      <c r="C97" s="496" t="s">
        <v>1114</v>
      </c>
      <c r="D97" s="9" t="s">
        <v>55</v>
      </c>
      <c r="E97" s="22" t="s">
        <v>221</v>
      </c>
      <c r="F97" s="9" t="s">
        <v>55</v>
      </c>
      <c r="G97" s="497">
        <f>+H97+I97</f>
        <v>550</v>
      </c>
      <c r="H97" s="497">
        <v>524.15</v>
      </c>
      <c r="I97" s="497">
        <v>25.85</v>
      </c>
      <c r="J97" s="451"/>
      <c r="K97" s="483">
        <f t="shared" si="81"/>
        <v>0</v>
      </c>
      <c r="L97" s="451"/>
      <c r="M97" s="451"/>
      <c r="N97" s="483"/>
      <c r="O97" s="451"/>
      <c r="P97" s="451"/>
      <c r="Q97" s="497">
        <f>+R97+S97</f>
        <v>550</v>
      </c>
      <c r="R97" s="497">
        <v>524.15</v>
      </c>
      <c r="S97" s="497">
        <v>25.85</v>
      </c>
      <c r="T97" s="451"/>
      <c r="U97" s="448">
        <f t="shared" si="82"/>
        <v>0</v>
      </c>
      <c r="V97" s="448">
        <f t="shared" si="83"/>
        <v>0</v>
      </c>
      <c r="W97" s="448">
        <f t="shared" si="83"/>
        <v>0</v>
      </c>
      <c r="X97" s="445">
        <f t="shared" si="88"/>
        <v>0</v>
      </c>
      <c r="Y97" s="451"/>
      <c r="Z97" s="451"/>
      <c r="AA97" s="451"/>
      <c r="AB97" s="483"/>
      <c r="AC97" s="483"/>
      <c r="AD97" s="451"/>
      <c r="AE97" s="483"/>
      <c r="AF97" s="483"/>
      <c r="AG97" s="497">
        <f>+AH97+AI97</f>
        <v>550</v>
      </c>
      <c r="AH97" s="497">
        <v>524.15</v>
      </c>
      <c r="AI97" s="497">
        <v>25.85</v>
      </c>
      <c r="AJ97" s="451"/>
      <c r="AK97" s="451"/>
      <c r="AL97" s="8"/>
    </row>
    <row r="98" spans="1:41" ht="30" hidden="1">
      <c r="A98" s="8">
        <f t="shared" ref="A98:A103" si="96">+A97+1</f>
        <v>15</v>
      </c>
      <c r="B98" s="495" t="s">
        <v>1115</v>
      </c>
      <c r="C98" s="496" t="s">
        <v>1116</v>
      </c>
      <c r="D98" s="9" t="s">
        <v>55</v>
      </c>
      <c r="E98" s="22"/>
      <c r="F98" s="9" t="s">
        <v>55</v>
      </c>
      <c r="G98" s="497">
        <f t="shared" ref="G98:G101" si="97">+H98+I98</f>
        <v>200</v>
      </c>
      <c r="H98" s="497">
        <v>190.5</v>
      </c>
      <c r="I98" s="497">
        <v>9.5</v>
      </c>
      <c r="J98" s="451"/>
      <c r="K98" s="483">
        <f t="shared" si="81"/>
        <v>0</v>
      </c>
      <c r="L98" s="451"/>
      <c r="M98" s="451"/>
      <c r="N98" s="483"/>
      <c r="O98" s="451"/>
      <c r="P98" s="451"/>
      <c r="Q98" s="497">
        <f t="shared" ref="Q98:Q101" si="98">+R98+S98</f>
        <v>200</v>
      </c>
      <c r="R98" s="497">
        <v>190.5</v>
      </c>
      <c r="S98" s="497">
        <v>9.5</v>
      </c>
      <c r="T98" s="451"/>
      <c r="U98" s="448"/>
      <c r="V98" s="448"/>
      <c r="W98" s="448"/>
      <c r="X98" s="445"/>
      <c r="Y98" s="451"/>
      <c r="Z98" s="451"/>
      <c r="AA98" s="451"/>
      <c r="AB98" s="483"/>
      <c r="AC98" s="483"/>
      <c r="AD98" s="451"/>
      <c r="AE98" s="483"/>
      <c r="AF98" s="483"/>
      <c r="AG98" s="497">
        <f t="shared" ref="AG98:AG101" si="99">+AH98+AI98</f>
        <v>200</v>
      </c>
      <c r="AH98" s="497">
        <v>190.5</v>
      </c>
      <c r="AI98" s="497">
        <v>9.5</v>
      </c>
      <c r="AJ98" s="451"/>
      <c r="AK98" s="451"/>
      <c r="AL98" s="8"/>
    </row>
    <row r="99" spans="1:41" ht="45" hidden="1">
      <c r="A99" s="8">
        <f t="shared" si="96"/>
        <v>16</v>
      </c>
      <c r="B99" s="495" t="s">
        <v>1117</v>
      </c>
      <c r="C99" s="496" t="s">
        <v>1118</v>
      </c>
      <c r="D99" s="9" t="s">
        <v>55</v>
      </c>
      <c r="E99" s="22"/>
      <c r="F99" s="9" t="s">
        <v>55</v>
      </c>
      <c r="G99" s="497">
        <f t="shared" si="97"/>
        <v>200</v>
      </c>
      <c r="H99" s="497">
        <v>190.5</v>
      </c>
      <c r="I99" s="497">
        <v>9.5</v>
      </c>
      <c r="J99" s="451"/>
      <c r="K99" s="483">
        <f t="shared" si="81"/>
        <v>0</v>
      </c>
      <c r="L99" s="451"/>
      <c r="M99" s="451"/>
      <c r="N99" s="483"/>
      <c r="O99" s="451"/>
      <c r="P99" s="451"/>
      <c r="Q99" s="497">
        <f t="shared" si="98"/>
        <v>200</v>
      </c>
      <c r="R99" s="497">
        <v>190.5</v>
      </c>
      <c r="S99" s="497">
        <v>9.5</v>
      </c>
      <c r="T99" s="451"/>
      <c r="U99" s="448"/>
      <c r="V99" s="448"/>
      <c r="W99" s="448"/>
      <c r="X99" s="445"/>
      <c r="Y99" s="451"/>
      <c r="Z99" s="451"/>
      <c r="AA99" s="451"/>
      <c r="AB99" s="483"/>
      <c r="AC99" s="483"/>
      <c r="AD99" s="451"/>
      <c r="AE99" s="483"/>
      <c r="AF99" s="483"/>
      <c r="AG99" s="497">
        <f t="shared" si="99"/>
        <v>200</v>
      </c>
      <c r="AH99" s="497">
        <v>190.5</v>
      </c>
      <c r="AI99" s="497">
        <v>9.5</v>
      </c>
      <c r="AJ99" s="451"/>
      <c r="AK99" s="451"/>
      <c r="AL99" s="8"/>
    </row>
    <row r="100" spans="1:41" ht="45" hidden="1">
      <c r="A100" s="8">
        <f t="shared" si="96"/>
        <v>17</v>
      </c>
      <c r="B100" s="495" t="s">
        <v>1119</v>
      </c>
      <c r="C100" s="496" t="s">
        <v>1026</v>
      </c>
      <c r="D100" s="9" t="s">
        <v>55</v>
      </c>
      <c r="E100" s="22"/>
      <c r="F100" s="9" t="s">
        <v>55</v>
      </c>
      <c r="G100" s="497">
        <f t="shared" si="97"/>
        <v>300</v>
      </c>
      <c r="H100" s="497">
        <v>285.5</v>
      </c>
      <c r="I100" s="497">
        <v>14.5</v>
      </c>
      <c r="J100" s="451"/>
      <c r="K100" s="483">
        <f t="shared" si="81"/>
        <v>0</v>
      </c>
      <c r="L100" s="451"/>
      <c r="M100" s="451"/>
      <c r="N100" s="483"/>
      <c r="O100" s="451"/>
      <c r="P100" s="451"/>
      <c r="Q100" s="497">
        <f t="shared" si="98"/>
        <v>300</v>
      </c>
      <c r="R100" s="497">
        <v>285.5</v>
      </c>
      <c r="S100" s="497">
        <v>14.5</v>
      </c>
      <c r="T100" s="451"/>
      <c r="U100" s="448"/>
      <c r="V100" s="448"/>
      <c r="W100" s="448"/>
      <c r="X100" s="445"/>
      <c r="Y100" s="451"/>
      <c r="Z100" s="451"/>
      <c r="AA100" s="451"/>
      <c r="AB100" s="483"/>
      <c r="AC100" s="483"/>
      <c r="AD100" s="451"/>
      <c r="AE100" s="483"/>
      <c r="AF100" s="483"/>
      <c r="AG100" s="497">
        <f t="shared" si="99"/>
        <v>300</v>
      </c>
      <c r="AH100" s="497">
        <v>285.5</v>
      </c>
      <c r="AI100" s="497">
        <v>14.5</v>
      </c>
      <c r="AJ100" s="451"/>
      <c r="AK100" s="451"/>
      <c r="AL100" s="8"/>
    </row>
    <row r="101" spans="1:41" ht="45" hidden="1">
      <c r="A101" s="8">
        <f t="shared" si="96"/>
        <v>18</v>
      </c>
      <c r="B101" s="495" t="s">
        <v>1120</v>
      </c>
      <c r="C101" s="496" t="s">
        <v>1121</v>
      </c>
      <c r="D101" s="9" t="s">
        <v>55</v>
      </c>
      <c r="E101" s="22"/>
      <c r="F101" s="9" t="s">
        <v>55</v>
      </c>
      <c r="G101" s="497">
        <f t="shared" si="97"/>
        <v>239.6</v>
      </c>
      <c r="H101" s="497">
        <v>228</v>
      </c>
      <c r="I101" s="497">
        <v>11.6</v>
      </c>
      <c r="J101" s="451"/>
      <c r="K101" s="483">
        <f t="shared" si="81"/>
        <v>0</v>
      </c>
      <c r="L101" s="451"/>
      <c r="M101" s="451"/>
      <c r="N101" s="483"/>
      <c r="O101" s="451"/>
      <c r="P101" s="451"/>
      <c r="Q101" s="497">
        <f t="shared" si="98"/>
        <v>239.6</v>
      </c>
      <c r="R101" s="497">
        <v>228</v>
      </c>
      <c r="S101" s="497">
        <v>11.6</v>
      </c>
      <c r="T101" s="451"/>
      <c r="U101" s="448"/>
      <c r="V101" s="448"/>
      <c r="W101" s="448"/>
      <c r="X101" s="445"/>
      <c r="Y101" s="451"/>
      <c r="Z101" s="451"/>
      <c r="AA101" s="451"/>
      <c r="AB101" s="483"/>
      <c r="AC101" s="483"/>
      <c r="AD101" s="451"/>
      <c r="AE101" s="483"/>
      <c r="AF101" s="483"/>
      <c r="AG101" s="497">
        <f t="shared" si="99"/>
        <v>239.6</v>
      </c>
      <c r="AH101" s="497">
        <v>228</v>
      </c>
      <c r="AI101" s="497">
        <v>11.6</v>
      </c>
      <c r="AJ101" s="451"/>
      <c r="AK101" s="451"/>
      <c r="AL101" s="8"/>
    </row>
    <row r="102" spans="1:41" ht="30" hidden="1">
      <c r="A102" s="8">
        <f t="shared" si="96"/>
        <v>19</v>
      </c>
      <c r="B102" s="360" t="s">
        <v>802</v>
      </c>
      <c r="C102" s="8" t="s">
        <v>803</v>
      </c>
      <c r="D102" s="8"/>
      <c r="E102" s="22" t="s">
        <v>804</v>
      </c>
      <c r="F102" s="21" t="s">
        <v>55</v>
      </c>
      <c r="G102" s="445">
        <f t="shared" si="85"/>
        <v>498.75</v>
      </c>
      <c r="H102" s="445">
        <v>475</v>
      </c>
      <c r="I102" s="445">
        <f>H102*5%</f>
        <v>23.75</v>
      </c>
      <c r="J102" s="451"/>
      <c r="K102" s="483">
        <f t="shared" si="81"/>
        <v>0</v>
      </c>
      <c r="L102" s="451"/>
      <c r="M102" s="451"/>
      <c r="N102" s="483"/>
      <c r="O102" s="451"/>
      <c r="P102" s="451"/>
      <c r="Q102" s="445">
        <f t="shared" ref="Q102:Q103" si="100">R102+S102</f>
        <v>498.75</v>
      </c>
      <c r="R102" s="445">
        <v>475</v>
      </c>
      <c r="S102" s="445">
        <f>R102*5%</f>
        <v>23.75</v>
      </c>
      <c r="T102" s="451"/>
      <c r="U102" s="448">
        <f t="shared" si="82"/>
        <v>0</v>
      </c>
      <c r="V102" s="448">
        <f t="shared" si="83"/>
        <v>0</v>
      </c>
      <c r="W102" s="448">
        <f t="shared" si="83"/>
        <v>0</v>
      </c>
      <c r="X102" s="445">
        <f t="shared" si="88"/>
        <v>0</v>
      </c>
      <c r="Y102" s="451"/>
      <c r="Z102" s="451"/>
      <c r="AA102" s="451"/>
      <c r="AB102" s="483"/>
      <c r="AC102" s="483"/>
      <c r="AD102" s="451"/>
      <c r="AE102" s="483"/>
      <c r="AF102" s="483"/>
      <c r="AG102" s="445">
        <f t="shared" ref="AG102:AG103" si="101">AH102+AI102</f>
        <v>498.75</v>
      </c>
      <c r="AH102" s="445">
        <v>475</v>
      </c>
      <c r="AI102" s="445">
        <f>AH102*5%</f>
        <v>23.75</v>
      </c>
      <c r="AJ102" s="451"/>
      <c r="AK102" s="451"/>
      <c r="AL102" s="8"/>
    </row>
    <row r="103" spans="1:41" ht="45" hidden="1">
      <c r="A103" s="8">
        <f t="shared" si="96"/>
        <v>20</v>
      </c>
      <c r="B103" s="360" t="s">
        <v>1122</v>
      </c>
      <c r="C103" s="8" t="s">
        <v>1123</v>
      </c>
      <c r="D103" s="8"/>
      <c r="E103" s="22"/>
      <c r="F103" s="21" t="s">
        <v>55</v>
      </c>
      <c r="G103" s="445"/>
      <c r="H103" s="445"/>
      <c r="I103" s="445"/>
      <c r="J103" s="451"/>
      <c r="K103" s="483"/>
      <c r="L103" s="451"/>
      <c r="M103" s="451"/>
      <c r="N103" s="445">
        <f t="shared" ref="N103" si="102">O103+P103</f>
        <v>739.57415999999989</v>
      </c>
      <c r="O103" s="445">
        <f>722.3+9.37416</f>
        <v>731.67415999999992</v>
      </c>
      <c r="P103" s="445">
        <v>7.9</v>
      </c>
      <c r="Q103" s="445">
        <f t="shared" si="100"/>
        <v>739.57415999999989</v>
      </c>
      <c r="R103" s="445">
        <f>722.3+9.37416</f>
        <v>731.67415999999992</v>
      </c>
      <c r="S103" s="445">
        <v>7.9</v>
      </c>
      <c r="T103" s="533" t="s">
        <v>1166</v>
      </c>
      <c r="U103" s="448"/>
      <c r="V103" s="448"/>
      <c r="W103" s="448"/>
      <c r="X103" s="445"/>
      <c r="Y103" s="451"/>
      <c r="Z103" s="451"/>
      <c r="AA103" s="451"/>
      <c r="AB103" s="483"/>
      <c r="AC103" s="483"/>
      <c r="AD103" s="451"/>
      <c r="AE103" s="483"/>
      <c r="AF103" s="483"/>
      <c r="AG103" s="445">
        <f t="shared" si="101"/>
        <v>739.57415999999989</v>
      </c>
      <c r="AH103" s="445">
        <f>722.3+9.37416</f>
        <v>731.67415999999992</v>
      </c>
      <c r="AI103" s="445">
        <v>7.9</v>
      </c>
      <c r="AJ103" s="451"/>
      <c r="AK103" s="451"/>
      <c r="AL103" s="8"/>
    </row>
    <row r="104" spans="1:41" s="14" customFormat="1" ht="23.25" customHeight="1">
      <c r="A104" s="4" t="s">
        <v>993</v>
      </c>
      <c r="B104" s="510" t="s">
        <v>223</v>
      </c>
      <c r="C104" s="418"/>
      <c r="D104" s="418"/>
      <c r="E104" s="417">
        <v>0</v>
      </c>
      <c r="F104" s="417"/>
      <c r="G104" s="446">
        <f>SUM(G105:G118)</f>
        <v>4514.05</v>
      </c>
      <c r="H104" s="446">
        <f t="shared" ref="H104:S104" si="103">SUM(H105:H118)</f>
        <v>4297.9500000000007</v>
      </c>
      <c r="I104" s="446">
        <f t="shared" si="103"/>
        <v>216.1</v>
      </c>
      <c r="J104" s="446">
        <f t="shared" si="103"/>
        <v>0</v>
      </c>
      <c r="K104" s="446">
        <f t="shared" si="103"/>
        <v>514.25409999999988</v>
      </c>
      <c r="L104" s="446">
        <f t="shared" si="103"/>
        <v>497.52</v>
      </c>
      <c r="M104" s="446">
        <f t="shared" si="103"/>
        <v>16.734099999999998</v>
      </c>
      <c r="N104" s="446">
        <f t="shared" si="103"/>
        <v>514.25409999999999</v>
      </c>
      <c r="O104" s="446">
        <f t="shared" si="103"/>
        <v>497.52000000000004</v>
      </c>
      <c r="P104" s="446">
        <f t="shared" si="103"/>
        <v>16.734099999999998</v>
      </c>
      <c r="Q104" s="446">
        <f t="shared" si="103"/>
        <v>4514.05</v>
      </c>
      <c r="R104" s="446">
        <f t="shared" si="103"/>
        <v>4297.9500000000007</v>
      </c>
      <c r="S104" s="446">
        <f t="shared" si="103"/>
        <v>216.1</v>
      </c>
      <c r="T104" s="446"/>
      <c r="U104" s="446">
        <f t="shared" ref="U104:AF104" si="104">SUM(U105:U116)</f>
        <v>3012.2959000000005</v>
      </c>
      <c r="V104" s="446">
        <f t="shared" si="104"/>
        <v>2857.7400000000002</v>
      </c>
      <c r="W104" s="446">
        <f t="shared" si="104"/>
        <v>154.55590000000001</v>
      </c>
      <c r="X104" s="446">
        <f t="shared" si="104"/>
        <v>1113.0999999999999</v>
      </c>
      <c r="Y104" s="446">
        <f t="shared" si="104"/>
        <v>1073.7</v>
      </c>
      <c r="Z104" s="446">
        <f t="shared" si="104"/>
        <v>39.4</v>
      </c>
      <c r="AA104" s="446">
        <f t="shared" si="104"/>
        <v>791.29590000000007</v>
      </c>
      <c r="AB104" s="446">
        <f t="shared" si="104"/>
        <v>737.04</v>
      </c>
      <c r="AC104" s="446">
        <f t="shared" si="104"/>
        <v>54.255899999999997</v>
      </c>
      <c r="AD104" s="446">
        <f t="shared" si="104"/>
        <v>1107.9000000000001</v>
      </c>
      <c r="AE104" s="446">
        <f t="shared" si="104"/>
        <v>1047</v>
      </c>
      <c r="AF104" s="446">
        <f t="shared" si="104"/>
        <v>60.900000000000006</v>
      </c>
      <c r="AG104" s="446">
        <f>SUM(AG105:AG118)</f>
        <v>1500</v>
      </c>
      <c r="AH104" s="446">
        <f>SUM(AH105:AH118)</f>
        <v>1440.21</v>
      </c>
      <c r="AI104" s="446">
        <f>SUM(AI105:AI118)</f>
        <v>59.79</v>
      </c>
      <c r="AJ104" s="446"/>
      <c r="AK104" s="446">
        <f>SUM(AK105:AK116)</f>
        <v>0</v>
      </c>
      <c r="AL104" s="16"/>
      <c r="AM104" s="368">
        <f>+'NĂM 2022'!K46+'NĂM 2023'!N45+'NĂM 2024'!J48+'NĂM 2025'!J43</f>
        <v>4514.05</v>
      </c>
      <c r="AN104" s="368">
        <f>+'NĂM 2022'!L46+'NĂM 2023'!O45+'NĂM 2024'!K48+'NĂM 2025'!K43</f>
        <v>4297.9500000000007</v>
      </c>
      <c r="AO104" s="368">
        <f>+'NĂM 2022'!M46+'NĂM 2023'!P45+'NĂM 2024'!L48+'NĂM 2025'!L43</f>
        <v>216.1</v>
      </c>
    </row>
    <row r="105" spans="1:41" s="146" customFormat="1" ht="60" hidden="1">
      <c r="A105" s="141">
        <v>1</v>
      </c>
      <c r="B105" s="325" t="s">
        <v>224</v>
      </c>
      <c r="C105" s="141" t="s">
        <v>225</v>
      </c>
      <c r="D105" s="141"/>
      <c r="E105" s="141" t="s">
        <v>226</v>
      </c>
      <c r="F105" s="151" t="s">
        <v>52</v>
      </c>
      <c r="G105" s="447">
        <f t="shared" si="85"/>
        <v>270.85000000000002</v>
      </c>
      <c r="H105" s="447">
        <v>257.85000000000002</v>
      </c>
      <c r="I105" s="447">
        <v>13</v>
      </c>
      <c r="J105" s="448"/>
      <c r="K105" s="483">
        <f>+G105-Q105</f>
        <v>0</v>
      </c>
      <c r="L105" s="448"/>
      <c r="M105" s="448"/>
      <c r="N105" s="483"/>
      <c r="O105" s="448"/>
      <c r="P105" s="448"/>
      <c r="Q105" s="466">
        <v>270.85000000000002</v>
      </c>
      <c r="R105" s="448">
        <v>257.85000000000002</v>
      </c>
      <c r="S105" s="448">
        <v>13</v>
      </c>
      <c r="T105" s="448"/>
      <c r="U105" s="448">
        <f>+V105+W105</f>
        <v>270.85000000000002</v>
      </c>
      <c r="V105" s="448">
        <f>+Y105+AB105+AE105</f>
        <v>257.85000000000002</v>
      </c>
      <c r="W105" s="448">
        <f>+Z105+AC105+AF105</f>
        <v>13</v>
      </c>
      <c r="X105" s="445">
        <f t="shared" si="88"/>
        <v>270.85000000000002</v>
      </c>
      <c r="Y105" s="447">
        <v>257.85000000000002</v>
      </c>
      <c r="Z105" s="447">
        <v>13</v>
      </c>
      <c r="AA105" s="447"/>
      <c r="AB105" s="481"/>
      <c r="AC105" s="481"/>
      <c r="AD105" s="447"/>
      <c r="AE105" s="481"/>
      <c r="AF105" s="481"/>
      <c r="AG105" s="447"/>
      <c r="AH105" s="481"/>
      <c r="AI105" s="481"/>
      <c r="AJ105" s="447"/>
      <c r="AK105" s="448"/>
      <c r="AL105" s="145"/>
      <c r="AM105" s="465">
        <f>+G104-U104</f>
        <v>1501.7540999999997</v>
      </c>
      <c r="AN105" s="465">
        <f>+H104-V104</f>
        <v>1440.2100000000005</v>
      </c>
      <c r="AO105" s="465">
        <f>+I104-W104</f>
        <v>61.544099999999986</v>
      </c>
    </row>
    <row r="106" spans="1:41" s="146" customFormat="1" ht="60" hidden="1">
      <c r="A106" s="141">
        <f>+A105+1</f>
        <v>2</v>
      </c>
      <c r="B106" s="325" t="s">
        <v>227</v>
      </c>
      <c r="C106" s="141" t="s">
        <v>228</v>
      </c>
      <c r="D106" s="141"/>
      <c r="E106" s="141" t="s">
        <v>229</v>
      </c>
      <c r="F106" s="151" t="s">
        <v>52</v>
      </c>
      <c r="G106" s="447">
        <f t="shared" si="85"/>
        <v>629.85</v>
      </c>
      <c r="H106" s="447">
        <v>599.85</v>
      </c>
      <c r="I106" s="447">
        <v>30</v>
      </c>
      <c r="J106" s="448"/>
      <c r="K106" s="483">
        <f>+L106+M106</f>
        <v>1.7541000000000011</v>
      </c>
      <c r="L106" s="448"/>
      <c r="M106" s="448">
        <f>+I106-S106</f>
        <v>1.7541000000000011</v>
      </c>
      <c r="N106" s="483"/>
      <c r="O106" s="448"/>
      <c r="P106" s="448"/>
      <c r="Q106" s="466">
        <v>628.09590000000003</v>
      </c>
      <c r="R106" s="448">
        <v>599.85</v>
      </c>
      <c r="S106" s="448">
        <v>28.245899999999999</v>
      </c>
      <c r="T106" s="448"/>
      <c r="U106" s="448">
        <f t="shared" ref="U106:U116" si="105">+V106+W106</f>
        <v>628.09590000000003</v>
      </c>
      <c r="V106" s="448">
        <f t="shared" ref="V106:W116" si="106">+Y106+AB106+AE106</f>
        <v>599.85</v>
      </c>
      <c r="W106" s="448">
        <f t="shared" si="106"/>
        <v>28.245899999999999</v>
      </c>
      <c r="X106" s="445">
        <f t="shared" si="88"/>
        <v>572.4</v>
      </c>
      <c r="Y106" s="447">
        <v>558</v>
      </c>
      <c r="Z106" s="447">
        <v>14.4</v>
      </c>
      <c r="AA106" s="447">
        <f>+AB106+AC106</f>
        <v>55.695900000000002</v>
      </c>
      <c r="AB106" s="481">
        <v>41.85</v>
      </c>
      <c r="AC106" s="481">
        <f>15.6-1.7541</f>
        <v>13.8459</v>
      </c>
      <c r="AD106" s="447"/>
      <c r="AE106" s="481"/>
      <c r="AF106" s="481"/>
      <c r="AG106" s="447"/>
      <c r="AH106" s="481"/>
      <c r="AI106" s="481"/>
      <c r="AJ106" s="447"/>
      <c r="AK106" s="448"/>
      <c r="AL106" s="145"/>
      <c r="AM106" s="369">
        <f>+AM105-AG104</f>
        <v>1.7540999999996529</v>
      </c>
      <c r="AN106" s="369">
        <f t="shared" ref="AN106:AO106" si="107">+AN105-AH104</f>
        <v>0</v>
      </c>
      <c r="AO106" s="369">
        <f t="shared" si="107"/>
        <v>1.7540999999999869</v>
      </c>
    </row>
    <row r="107" spans="1:41" s="146" customFormat="1" ht="75" hidden="1">
      <c r="A107" s="141">
        <f t="shared" ref="A107:A118" si="108">+A106+1</f>
        <v>3</v>
      </c>
      <c r="B107" s="325" t="s">
        <v>230</v>
      </c>
      <c r="C107" s="141" t="s">
        <v>231</v>
      </c>
      <c r="D107" s="141"/>
      <c r="E107" s="141" t="s">
        <v>110</v>
      </c>
      <c r="F107" s="151" t="s">
        <v>52</v>
      </c>
      <c r="G107" s="447">
        <f t="shared" si="85"/>
        <v>269.85000000000002</v>
      </c>
      <c r="H107" s="447">
        <v>257.85000000000002</v>
      </c>
      <c r="I107" s="447">
        <v>12</v>
      </c>
      <c r="J107" s="448"/>
      <c r="K107" s="483">
        <f t="shared" ref="K107:K116" si="109">+G107-Q107</f>
        <v>0</v>
      </c>
      <c r="L107" s="448"/>
      <c r="M107" s="448"/>
      <c r="N107" s="483"/>
      <c r="O107" s="448"/>
      <c r="P107" s="448"/>
      <c r="Q107" s="466">
        <v>269.85000000000002</v>
      </c>
      <c r="R107" s="448">
        <v>257.85000000000002</v>
      </c>
      <c r="S107" s="448">
        <v>12</v>
      </c>
      <c r="T107" s="448"/>
      <c r="U107" s="448">
        <f t="shared" si="105"/>
        <v>269.85000000000002</v>
      </c>
      <c r="V107" s="448">
        <f t="shared" si="106"/>
        <v>257.85000000000002</v>
      </c>
      <c r="W107" s="448">
        <f t="shared" si="106"/>
        <v>12</v>
      </c>
      <c r="X107" s="445">
        <f t="shared" si="88"/>
        <v>269.85000000000002</v>
      </c>
      <c r="Y107" s="447">
        <v>257.85000000000002</v>
      </c>
      <c r="Z107" s="447">
        <v>12</v>
      </c>
      <c r="AA107" s="447"/>
      <c r="AB107" s="481"/>
      <c r="AC107" s="481"/>
      <c r="AD107" s="447"/>
      <c r="AE107" s="481"/>
      <c r="AF107" s="481"/>
      <c r="AG107" s="447"/>
      <c r="AH107" s="481"/>
      <c r="AI107" s="481"/>
      <c r="AJ107" s="447"/>
      <c r="AK107" s="448"/>
      <c r="AL107" s="145"/>
      <c r="AM107" s="369"/>
      <c r="AN107" s="369"/>
      <c r="AO107" s="369"/>
    </row>
    <row r="108" spans="1:41" s="146" customFormat="1" ht="60" hidden="1">
      <c r="A108" s="141">
        <f t="shared" si="108"/>
        <v>4</v>
      </c>
      <c r="B108" s="325" t="s">
        <v>232</v>
      </c>
      <c r="C108" s="141" t="s">
        <v>225</v>
      </c>
      <c r="D108" s="141"/>
      <c r="E108" s="141" t="s">
        <v>226</v>
      </c>
      <c r="F108" s="151" t="s">
        <v>53</v>
      </c>
      <c r="G108" s="447">
        <f t="shared" si="85"/>
        <v>357</v>
      </c>
      <c r="H108" s="447">
        <v>342</v>
      </c>
      <c r="I108" s="447">
        <v>15</v>
      </c>
      <c r="J108" s="448"/>
      <c r="K108" s="483"/>
      <c r="L108" s="448"/>
      <c r="M108" s="448"/>
      <c r="N108" s="483">
        <f>+O108+P108</f>
        <v>14.249999999999989</v>
      </c>
      <c r="O108" s="448">
        <f>+R108-H108</f>
        <v>7.5099999999999909</v>
      </c>
      <c r="P108" s="448">
        <f>+S108-I108</f>
        <v>6.7399999999999984</v>
      </c>
      <c r="Q108" s="466">
        <v>371.25</v>
      </c>
      <c r="R108" s="448">
        <v>349.51</v>
      </c>
      <c r="S108" s="448">
        <v>21.74</v>
      </c>
      <c r="T108" s="448"/>
      <c r="U108" s="448">
        <f t="shared" si="105"/>
        <v>371.25</v>
      </c>
      <c r="V108" s="448">
        <f t="shared" si="106"/>
        <v>349.51</v>
      </c>
      <c r="W108" s="448">
        <f t="shared" si="106"/>
        <v>21.74</v>
      </c>
      <c r="X108" s="445">
        <f t="shared" si="88"/>
        <v>0</v>
      </c>
      <c r="Y108" s="448"/>
      <c r="Z108" s="448"/>
      <c r="AA108" s="448">
        <f>+AB108+AC108</f>
        <v>371.25</v>
      </c>
      <c r="AB108" s="483">
        <v>349.51</v>
      </c>
      <c r="AC108" s="483">
        <v>21.74</v>
      </c>
      <c r="AD108" s="448"/>
      <c r="AE108" s="483"/>
      <c r="AF108" s="483"/>
      <c r="AG108" s="448"/>
      <c r="AH108" s="483"/>
      <c r="AI108" s="483"/>
      <c r="AJ108" s="448"/>
      <c r="AK108" s="448"/>
      <c r="AL108" s="145"/>
      <c r="AM108" s="369"/>
      <c r="AN108" s="369"/>
      <c r="AO108" s="369"/>
    </row>
    <row r="109" spans="1:41" s="146" customFormat="1" ht="75" hidden="1">
      <c r="A109" s="141">
        <f t="shared" si="108"/>
        <v>5</v>
      </c>
      <c r="B109" s="325" t="s">
        <v>233</v>
      </c>
      <c r="C109" s="141" t="s">
        <v>231</v>
      </c>
      <c r="D109" s="141"/>
      <c r="E109" s="141" t="s">
        <v>110</v>
      </c>
      <c r="F109" s="151" t="s">
        <v>53</v>
      </c>
      <c r="G109" s="447">
        <f t="shared" si="85"/>
        <v>359.1</v>
      </c>
      <c r="H109" s="447">
        <v>342</v>
      </c>
      <c r="I109" s="447">
        <v>17.100000000000001</v>
      </c>
      <c r="J109" s="448"/>
      <c r="K109" s="483"/>
      <c r="L109" s="448"/>
      <c r="M109" s="448"/>
      <c r="N109" s="483">
        <f t="shared" ref="N109:N110" si="110">+O109+P109</f>
        <v>5.2500000000000071</v>
      </c>
      <c r="O109" s="448">
        <f t="shared" ref="O109:P110" si="111">+R109-H109</f>
        <v>3.6800000000000068</v>
      </c>
      <c r="P109" s="448">
        <f t="shared" si="111"/>
        <v>1.5700000000000003</v>
      </c>
      <c r="Q109" s="466">
        <v>364.35</v>
      </c>
      <c r="R109" s="448">
        <v>345.68</v>
      </c>
      <c r="S109" s="448">
        <v>18.670000000000002</v>
      </c>
      <c r="T109" s="448"/>
      <c r="U109" s="448">
        <f t="shared" si="105"/>
        <v>364.35</v>
      </c>
      <c r="V109" s="448">
        <f t="shared" si="106"/>
        <v>345.68</v>
      </c>
      <c r="W109" s="448">
        <f t="shared" si="106"/>
        <v>18.670000000000002</v>
      </c>
      <c r="X109" s="445">
        <f t="shared" si="88"/>
        <v>0</v>
      </c>
      <c r="Y109" s="448"/>
      <c r="Z109" s="448"/>
      <c r="AA109" s="448">
        <f>+AB109+AC109</f>
        <v>364.35</v>
      </c>
      <c r="AB109" s="483">
        <v>345.68</v>
      </c>
      <c r="AC109" s="483">
        <v>18.670000000000002</v>
      </c>
      <c r="AD109" s="448"/>
      <c r="AE109" s="483"/>
      <c r="AF109" s="483"/>
      <c r="AG109" s="448"/>
      <c r="AH109" s="483"/>
      <c r="AI109" s="483"/>
      <c r="AJ109" s="448"/>
      <c r="AK109" s="448"/>
      <c r="AL109" s="145"/>
      <c r="AM109" s="369"/>
      <c r="AN109" s="369"/>
      <c r="AO109" s="369"/>
    </row>
    <row r="110" spans="1:41" s="146" customFormat="1" ht="75" hidden="1">
      <c r="A110" s="141">
        <f t="shared" si="108"/>
        <v>6</v>
      </c>
      <c r="B110" s="325" t="s">
        <v>234</v>
      </c>
      <c r="C110" s="141" t="s">
        <v>231</v>
      </c>
      <c r="D110" s="141"/>
      <c r="E110" s="141" t="s">
        <v>235</v>
      </c>
      <c r="F110" s="151" t="s">
        <v>53</v>
      </c>
      <c r="G110" s="447">
        <f t="shared" si="85"/>
        <v>320</v>
      </c>
      <c r="H110" s="447">
        <v>300</v>
      </c>
      <c r="I110" s="447">
        <v>20</v>
      </c>
      <c r="J110" s="448"/>
      <c r="K110" s="483"/>
      <c r="L110" s="448"/>
      <c r="M110" s="448"/>
      <c r="N110" s="483">
        <f t="shared" si="110"/>
        <v>49.3</v>
      </c>
      <c r="O110" s="448">
        <f t="shared" si="111"/>
        <v>49</v>
      </c>
      <c r="P110" s="448">
        <f t="shared" si="111"/>
        <v>0.30000000000000071</v>
      </c>
      <c r="Q110" s="466">
        <v>369.3</v>
      </c>
      <c r="R110" s="448">
        <v>349</v>
      </c>
      <c r="S110" s="448">
        <v>20.3</v>
      </c>
      <c r="T110" s="448"/>
      <c r="U110" s="448">
        <f t="shared" si="105"/>
        <v>369.3</v>
      </c>
      <c r="V110" s="448">
        <f t="shared" si="106"/>
        <v>349</v>
      </c>
      <c r="W110" s="448">
        <f t="shared" si="106"/>
        <v>20.3</v>
      </c>
      <c r="X110" s="445">
        <f t="shared" si="88"/>
        <v>0</v>
      </c>
      <c r="Y110" s="448"/>
      <c r="Z110" s="448"/>
      <c r="AA110" s="448"/>
      <c r="AB110" s="483"/>
      <c r="AC110" s="483"/>
      <c r="AD110" s="448">
        <f>+AE110+AF110</f>
        <v>369.3</v>
      </c>
      <c r="AE110" s="483">
        <v>349</v>
      </c>
      <c r="AF110" s="483">
        <v>20.3</v>
      </c>
      <c r="AG110" s="448"/>
      <c r="AH110" s="483"/>
      <c r="AI110" s="483"/>
      <c r="AJ110" s="448"/>
      <c r="AK110" s="448"/>
      <c r="AL110" s="145"/>
      <c r="AM110" s="369"/>
      <c r="AN110" s="369"/>
      <c r="AO110" s="369"/>
    </row>
    <row r="111" spans="1:41" s="146" customFormat="1" ht="45" hidden="1">
      <c r="A111" s="141">
        <f t="shared" si="108"/>
        <v>7</v>
      </c>
      <c r="B111" s="325" t="s">
        <v>236</v>
      </c>
      <c r="C111" s="141" t="s">
        <v>228</v>
      </c>
      <c r="D111" s="141"/>
      <c r="E111" s="141" t="s">
        <v>237</v>
      </c>
      <c r="F111" s="151" t="s">
        <v>53</v>
      </c>
      <c r="G111" s="447">
        <f t="shared" si="85"/>
        <v>630</v>
      </c>
      <c r="H111" s="447">
        <v>600</v>
      </c>
      <c r="I111" s="447">
        <v>30</v>
      </c>
      <c r="J111" s="448"/>
      <c r="K111" s="483">
        <f t="shared" si="109"/>
        <v>260.7</v>
      </c>
      <c r="L111" s="448">
        <f>+H111-R111</f>
        <v>251</v>
      </c>
      <c r="M111" s="448">
        <f>+I111-S111</f>
        <v>9.6999999999999993</v>
      </c>
      <c r="N111" s="483"/>
      <c r="O111" s="448"/>
      <c r="P111" s="448"/>
      <c r="Q111" s="466">
        <v>369.3</v>
      </c>
      <c r="R111" s="448">
        <v>349</v>
      </c>
      <c r="S111" s="448">
        <v>20.3</v>
      </c>
      <c r="T111" s="448"/>
      <c r="U111" s="448">
        <f t="shared" si="105"/>
        <v>369.3</v>
      </c>
      <c r="V111" s="448">
        <f t="shared" si="106"/>
        <v>349</v>
      </c>
      <c r="W111" s="448">
        <f t="shared" si="106"/>
        <v>20.3</v>
      </c>
      <c r="X111" s="445">
        <f t="shared" si="88"/>
        <v>0</v>
      </c>
      <c r="Y111" s="448"/>
      <c r="Z111" s="448"/>
      <c r="AA111" s="448"/>
      <c r="AB111" s="483"/>
      <c r="AC111" s="483"/>
      <c r="AD111" s="448">
        <f>+AE111+AF111</f>
        <v>369.3</v>
      </c>
      <c r="AE111" s="483">
        <v>349</v>
      </c>
      <c r="AF111" s="483">
        <v>20.3</v>
      </c>
      <c r="AG111" s="448"/>
      <c r="AH111" s="483"/>
      <c r="AI111" s="483"/>
      <c r="AJ111" s="448"/>
      <c r="AK111" s="448"/>
      <c r="AL111" s="145"/>
      <c r="AM111" s="369"/>
      <c r="AN111" s="369"/>
      <c r="AO111" s="369"/>
    </row>
    <row r="112" spans="1:41" s="146" customFormat="1" ht="75" hidden="1">
      <c r="A112" s="141">
        <f t="shared" si="108"/>
        <v>8</v>
      </c>
      <c r="B112" s="325" t="s">
        <v>242</v>
      </c>
      <c r="C112" s="141" t="s">
        <v>225</v>
      </c>
      <c r="D112" s="141"/>
      <c r="E112" s="141" t="s">
        <v>104</v>
      </c>
      <c r="F112" s="141" t="s">
        <v>54</v>
      </c>
      <c r="G112" s="447">
        <f>H112+I112</f>
        <v>557.79999999999995</v>
      </c>
      <c r="H112" s="447">
        <v>532.79999999999995</v>
      </c>
      <c r="I112" s="447">
        <v>25</v>
      </c>
      <c r="J112" s="448"/>
      <c r="K112" s="483">
        <f t="shared" si="109"/>
        <v>188.49999999999994</v>
      </c>
      <c r="L112" s="448">
        <f>+H112-R112</f>
        <v>183.79999999999995</v>
      </c>
      <c r="M112" s="448">
        <f>+I112-S112</f>
        <v>4.6999999999999993</v>
      </c>
      <c r="N112" s="483"/>
      <c r="O112" s="448"/>
      <c r="P112" s="448"/>
      <c r="Q112" s="466">
        <v>369.3</v>
      </c>
      <c r="R112" s="448">
        <v>349</v>
      </c>
      <c r="S112" s="448">
        <v>20.3</v>
      </c>
      <c r="T112" s="448"/>
      <c r="U112" s="448">
        <f>+V112+W112</f>
        <v>369.3</v>
      </c>
      <c r="V112" s="448">
        <f>+Y112+AB112+AE112</f>
        <v>349</v>
      </c>
      <c r="W112" s="448">
        <f>+Z112+AC112+AF112</f>
        <v>20.3</v>
      </c>
      <c r="X112" s="445">
        <f>Y112+Z112</f>
        <v>0</v>
      </c>
      <c r="Y112" s="448"/>
      <c r="Z112" s="448"/>
      <c r="AA112" s="448"/>
      <c r="AB112" s="483"/>
      <c r="AC112" s="483"/>
      <c r="AD112" s="448">
        <f>+AE112+AF112</f>
        <v>369.3</v>
      </c>
      <c r="AE112" s="483">
        <v>349</v>
      </c>
      <c r="AF112" s="483">
        <v>20.3</v>
      </c>
      <c r="AG112" s="448"/>
      <c r="AH112" s="483"/>
      <c r="AI112" s="483"/>
      <c r="AJ112" s="448"/>
      <c r="AK112" s="448"/>
      <c r="AL112" s="145"/>
      <c r="AM112" s="369"/>
      <c r="AN112" s="369"/>
      <c r="AO112" s="369"/>
    </row>
    <row r="113" spans="1:41" s="146" customFormat="1" ht="75" hidden="1">
      <c r="A113" s="141">
        <f t="shared" si="108"/>
        <v>9</v>
      </c>
      <c r="B113" s="325" t="s">
        <v>238</v>
      </c>
      <c r="C113" s="141" t="s">
        <v>225</v>
      </c>
      <c r="D113" s="141"/>
      <c r="E113" s="141" t="s">
        <v>239</v>
      </c>
      <c r="F113" s="151" t="s">
        <v>53</v>
      </c>
      <c r="G113" s="447">
        <f t="shared" si="85"/>
        <v>315</v>
      </c>
      <c r="H113" s="447">
        <v>300</v>
      </c>
      <c r="I113" s="447">
        <v>15</v>
      </c>
      <c r="J113" s="448"/>
      <c r="K113" s="483">
        <f t="shared" si="109"/>
        <v>0</v>
      </c>
      <c r="L113" s="448"/>
      <c r="M113" s="448"/>
      <c r="N113" s="483"/>
      <c r="O113" s="448"/>
      <c r="P113" s="448"/>
      <c r="Q113" s="447">
        <f t="shared" ref="Q113:Q116" si="112">R113+S113</f>
        <v>315</v>
      </c>
      <c r="R113" s="447">
        <v>300</v>
      </c>
      <c r="S113" s="447">
        <v>15</v>
      </c>
      <c r="T113" s="448"/>
      <c r="U113" s="448">
        <f t="shared" si="105"/>
        <v>0</v>
      </c>
      <c r="V113" s="448">
        <f t="shared" si="106"/>
        <v>0</v>
      </c>
      <c r="W113" s="448">
        <f t="shared" si="106"/>
        <v>0</v>
      </c>
      <c r="X113" s="445">
        <f t="shared" si="88"/>
        <v>0</v>
      </c>
      <c r="Y113" s="448"/>
      <c r="Z113" s="448"/>
      <c r="AA113" s="448"/>
      <c r="AB113" s="483"/>
      <c r="AC113" s="483"/>
      <c r="AD113" s="448"/>
      <c r="AE113" s="483"/>
      <c r="AF113" s="483"/>
      <c r="AG113" s="447">
        <f t="shared" ref="AG113:AG116" si="113">AH113+AI113</f>
        <v>315</v>
      </c>
      <c r="AH113" s="447">
        <v>300</v>
      </c>
      <c r="AI113" s="447">
        <v>15</v>
      </c>
      <c r="AJ113" s="448"/>
      <c r="AK113" s="448"/>
      <c r="AL113" s="145"/>
      <c r="AM113" s="369"/>
      <c r="AN113" s="369"/>
      <c r="AO113" s="369"/>
    </row>
    <row r="114" spans="1:41" s="146" customFormat="1" ht="45" hidden="1">
      <c r="A114" s="141">
        <f t="shared" si="108"/>
        <v>10</v>
      </c>
      <c r="B114" s="325" t="s">
        <v>240</v>
      </c>
      <c r="C114" s="141" t="s">
        <v>231</v>
      </c>
      <c r="D114" s="141"/>
      <c r="E114" s="141" t="s">
        <v>241</v>
      </c>
      <c r="F114" s="141" t="s">
        <v>54</v>
      </c>
      <c r="G114" s="447">
        <f t="shared" si="85"/>
        <v>315</v>
      </c>
      <c r="H114" s="447">
        <v>300</v>
      </c>
      <c r="I114" s="447">
        <v>15</v>
      </c>
      <c r="J114" s="448"/>
      <c r="K114" s="483">
        <f t="shared" si="109"/>
        <v>63.300000000000011</v>
      </c>
      <c r="L114" s="448">
        <f>+H114-R114</f>
        <v>62.72</v>
      </c>
      <c r="M114" s="448">
        <f>+I114-S114</f>
        <v>0.58000000000000007</v>
      </c>
      <c r="N114" s="483"/>
      <c r="O114" s="448"/>
      <c r="P114" s="448"/>
      <c r="Q114" s="447">
        <f t="shared" si="112"/>
        <v>251.7</v>
      </c>
      <c r="R114" s="447">
        <v>237.28</v>
      </c>
      <c r="S114" s="447">
        <v>14.42</v>
      </c>
      <c r="T114" s="448"/>
      <c r="U114" s="448">
        <f t="shared" si="105"/>
        <v>0</v>
      </c>
      <c r="V114" s="448">
        <f t="shared" si="106"/>
        <v>0</v>
      </c>
      <c r="W114" s="448">
        <f t="shared" si="106"/>
        <v>0</v>
      </c>
      <c r="X114" s="445">
        <f t="shared" si="88"/>
        <v>0</v>
      </c>
      <c r="Y114" s="448"/>
      <c r="Z114" s="448"/>
      <c r="AA114" s="448"/>
      <c r="AB114" s="483"/>
      <c r="AC114" s="483"/>
      <c r="AD114" s="448"/>
      <c r="AE114" s="483"/>
      <c r="AF114" s="483"/>
      <c r="AG114" s="447">
        <f t="shared" si="113"/>
        <v>251.7</v>
      </c>
      <c r="AH114" s="447">
        <v>237.28</v>
      </c>
      <c r="AI114" s="447">
        <v>14.42</v>
      </c>
      <c r="AJ114" s="448"/>
      <c r="AK114" s="448"/>
      <c r="AL114" s="145"/>
      <c r="AM114" s="369"/>
      <c r="AN114" s="369"/>
      <c r="AO114" s="369"/>
    </row>
    <row r="115" spans="1:41" s="146" customFormat="1" ht="75" hidden="1">
      <c r="A115" s="141">
        <f t="shared" si="108"/>
        <v>11</v>
      </c>
      <c r="B115" s="325" t="s">
        <v>243</v>
      </c>
      <c r="C115" s="141" t="s">
        <v>231</v>
      </c>
      <c r="D115" s="141"/>
      <c r="E115" s="141" t="s">
        <v>159</v>
      </c>
      <c r="F115" s="141" t="s">
        <v>55</v>
      </c>
      <c r="G115" s="447">
        <f t="shared" si="85"/>
        <v>244.8</v>
      </c>
      <c r="H115" s="447">
        <v>232.8</v>
      </c>
      <c r="I115" s="447">
        <v>12</v>
      </c>
      <c r="J115" s="448"/>
      <c r="K115" s="483">
        <f t="shared" si="109"/>
        <v>0</v>
      </c>
      <c r="L115" s="448"/>
      <c r="M115" s="448"/>
      <c r="N115" s="483"/>
      <c r="O115" s="448"/>
      <c r="P115" s="448"/>
      <c r="Q115" s="447">
        <f t="shared" si="112"/>
        <v>244.8</v>
      </c>
      <c r="R115" s="447">
        <v>232.8</v>
      </c>
      <c r="S115" s="447">
        <v>12</v>
      </c>
      <c r="T115" s="448"/>
      <c r="U115" s="448">
        <f t="shared" si="105"/>
        <v>0</v>
      </c>
      <c r="V115" s="448">
        <f t="shared" si="106"/>
        <v>0</v>
      </c>
      <c r="W115" s="448">
        <f t="shared" si="106"/>
        <v>0</v>
      </c>
      <c r="X115" s="445">
        <f t="shared" si="88"/>
        <v>0</v>
      </c>
      <c r="Y115" s="448"/>
      <c r="Z115" s="448"/>
      <c r="AA115" s="448"/>
      <c r="AB115" s="483"/>
      <c r="AC115" s="483"/>
      <c r="AD115" s="448"/>
      <c r="AE115" s="483"/>
      <c r="AF115" s="483"/>
      <c r="AG115" s="447">
        <f t="shared" si="113"/>
        <v>244.8</v>
      </c>
      <c r="AH115" s="447">
        <v>232.8</v>
      </c>
      <c r="AI115" s="447">
        <v>12</v>
      </c>
      <c r="AJ115" s="448"/>
      <c r="AK115" s="448"/>
      <c r="AL115" s="145"/>
      <c r="AM115" s="369"/>
      <c r="AN115" s="369"/>
      <c r="AO115" s="369"/>
    </row>
    <row r="116" spans="1:41" s="146" customFormat="1" ht="75" hidden="1">
      <c r="A116" s="141">
        <f t="shared" si="108"/>
        <v>12</v>
      </c>
      <c r="B116" s="325" t="s">
        <v>244</v>
      </c>
      <c r="C116" s="141" t="s">
        <v>228</v>
      </c>
      <c r="D116" s="141"/>
      <c r="E116" s="141" t="s">
        <v>159</v>
      </c>
      <c r="F116" s="141" t="s">
        <v>55</v>
      </c>
      <c r="G116" s="447">
        <f t="shared" si="85"/>
        <v>244.8</v>
      </c>
      <c r="H116" s="447">
        <v>232.8</v>
      </c>
      <c r="I116" s="447">
        <v>12</v>
      </c>
      <c r="J116" s="448"/>
      <c r="K116" s="483">
        <f t="shared" si="109"/>
        <v>0</v>
      </c>
      <c r="L116" s="448"/>
      <c r="M116" s="448"/>
      <c r="N116" s="483"/>
      <c r="O116" s="448"/>
      <c r="P116" s="448"/>
      <c r="Q116" s="447">
        <f t="shared" si="112"/>
        <v>244.8</v>
      </c>
      <c r="R116" s="447">
        <v>232.8</v>
      </c>
      <c r="S116" s="447">
        <v>12</v>
      </c>
      <c r="T116" s="448"/>
      <c r="U116" s="448">
        <f t="shared" si="105"/>
        <v>0</v>
      </c>
      <c r="V116" s="448">
        <f t="shared" si="106"/>
        <v>0</v>
      </c>
      <c r="W116" s="448">
        <f t="shared" si="106"/>
        <v>0</v>
      </c>
      <c r="X116" s="445">
        <f t="shared" si="88"/>
        <v>0</v>
      </c>
      <c r="Y116" s="448"/>
      <c r="Z116" s="448"/>
      <c r="AA116" s="448"/>
      <c r="AB116" s="483"/>
      <c r="AC116" s="483"/>
      <c r="AD116" s="448"/>
      <c r="AE116" s="483"/>
      <c r="AF116" s="483"/>
      <c r="AG116" s="447">
        <f t="shared" si="113"/>
        <v>244.8</v>
      </c>
      <c r="AH116" s="447">
        <v>232.8</v>
      </c>
      <c r="AI116" s="447">
        <v>12</v>
      </c>
      <c r="AJ116" s="448"/>
      <c r="AK116" s="448"/>
      <c r="AL116" s="145"/>
      <c r="AM116" s="369"/>
      <c r="AN116" s="369"/>
      <c r="AO116" s="369"/>
    </row>
    <row r="117" spans="1:41" s="146" customFormat="1" ht="45" hidden="1">
      <c r="A117" s="141">
        <f t="shared" si="108"/>
        <v>13</v>
      </c>
      <c r="B117" s="325" t="s">
        <v>1144</v>
      </c>
      <c r="C117" s="141" t="s">
        <v>228</v>
      </c>
      <c r="D117" s="141"/>
      <c r="E117" s="141"/>
      <c r="F117" s="141" t="s">
        <v>55</v>
      </c>
      <c r="G117" s="447"/>
      <c r="H117" s="447"/>
      <c r="I117" s="447"/>
      <c r="J117" s="448"/>
      <c r="K117" s="483"/>
      <c r="L117" s="448"/>
      <c r="M117" s="448"/>
      <c r="N117" s="448">
        <f>+O117+P117</f>
        <v>257.80410000000001</v>
      </c>
      <c r="O117" s="483">
        <v>252.4</v>
      </c>
      <c r="P117" s="483">
        <f>3.65+1.7541</f>
        <v>5.4040999999999997</v>
      </c>
      <c r="Q117" s="448">
        <f>+R117+S117</f>
        <v>257.80410000000001</v>
      </c>
      <c r="R117" s="483">
        <v>252.4</v>
      </c>
      <c r="S117" s="483">
        <f>3.65+1.7541</f>
        <v>5.4040999999999997</v>
      </c>
      <c r="T117" s="533" t="s">
        <v>1166</v>
      </c>
      <c r="U117" s="448"/>
      <c r="V117" s="448"/>
      <c r="W117" s="448"/>
      <c r="X117" s="445"/>
      <c r="Y117" s="448"/>
      <c r="Z117" s="448"/>
      <c r="AA117" s="448"/>
      <c r="AB117" s="483"/>
      <c r="AC117" s="483"/>
      <c r="AD117" s="448"/>
      <c r="AE117" s="483"/>
      <c r="AF117" s="483"/>
      <c r="AG117" s="448">
        <f>+AH117+AI117</f>
        <v>256.05</v>
      </c>
      <c r="AH117" s="483">
        <v>252.4</v>
      </c>
      <c r="AI117" s="483">
        <v>3.65</v>
      </c>
      <c r="AJ117" s="448"/>
      <c r="AK117" s="448"/>
      <c r="AL117" s="145"/>
      <c r="AM117" s="369"/>
      <c r="AN117" s="369"/>
      <c r="AO117" s="369"/>
    </row>
    <row r="118" spans="1:41" s="146" customFormat="1" ht="45" hidden="1">
      <c r="A118" s="141">
        <f t="shared" si="108"/>
        <v>14</v>
      </c>
      <c r="B118" s="325" t="s">
        <v>1145</v>
      </c>
      <c r="C118" s="141" t="s">
        <v>225</v>
      </c>
      <c r="D118" s="141"/>
      <c r="E118" s="141"/>
      <c r="F118" s="141" t="s">
        <v>55</v>
      </c>
      <c r="G118" s="447"/>
      <c r="H118" s="447"/>
      <c r="I118" s="447"/>
      <c r="J118" s="448"/>
      <c r="K118" s="483"/>
      <c r="L118" s="448"/>
      <c r="M118" s="448"/>
      <c r="N118" s="448">
        <f>+O118+P118</f>
        <v>187.65</v>
      </c>
      <c r="O118" s="483">
        <v>184.93</v>
      </c>
      <c r="P118" s="483">
        <v>2.72</v>
      </c>
      <c r="Q118" s="448">
        <f>+R118+S118</f>
        <v>187.65</v>
      </c>
      <c r="R118" s="483">
        <v>184.93</v>
      </c>
      <c r="S118" s="483">
        <v>2.72</v>
      </c>
      <c r="T118" s="533" t="s">
        <v>1166</v>
      </c>
      <c r="U118" s="448"/>
      <c r="V118" s="448"/>
      <c r="W118" s="448"/>
      <c r="X118" s="445"/>
      <c r="Y118" s="448"/>
      <c r="Z118" s="448"/>
      <c r="AA118" s="448"/>
      <c r="AB118" s="483"/>
      <c r="AC118" s="483"/>
      <c r="AD118" s="448"/>
      <c r="AE118" s="483"/>
      <c r="AF118" s="483"/>
      <c r="AG118" s="448">
        <f>+AH118+AI118</f>
        <v>187.65</v>
      </c>
      <c r="AH118" s="483">
        <v>184.93</v>
      </c>
      <c r="AI118" s="483">
        <v>2.72</v>
      </c>
      <c r="AJ118" s="448"/>
      <c r="AK118" s="448"/>
      <c r="AL118" s="145"/>
      <c r="AM118" s="369"/>
      <c r="AN118" s="369"/>
      <c r="AO118" s="369"/>
    </row>
    <row r="119" spans="1:41" s="156" customFormat="1" ht="23.25" customHeight="1">
      <c r="A119" s="419" t="s">
        <v>994</v>
      </c>
      <c r="B119" s="507" t="s">
        <v>246</v>
      </c>
      <c r="C119" s="420"/>
      <c r="D119" s="420"/>
      <c r="E119" s="421">
        <v>0</v>
      </c>
      <c r="F119" s="421"/>
      <c r="G119" s="452">
        <f>SUM(G120:G134)</f>
        <v>10104.369999999999</v>
      </c>
      <c r="H119" s="452">
        <f t="shared" ref="H119:T119" si="114">SUM(H120:H134)</f>
        <v>9623.2099999999991</v>
      </c>
      <c r="I119" s="452">
        <f t="shared" si="114"/>
        <v>481.15999999999997</v>
      </c>
      <c r="J119" s="452">
        <f t="shared" si="114"/>
        <v>0</v>
      </c>
      <c r="K119" s="452">
        <f t="shared" si="114"/>
        <v>995.16000000000008</v>
      </c>
      <c r="L119" s="452">
        <f t="shared" si="114"/>
        <v>949.46</v>
      </c>
      <c r="M119" s="452">
        <f t="shared" si="114"/>
        <v>45.7</v>
      </c>
      <c r="N119" s="452">
        <f t="shared" si="114"/>
        <v>995.15999999999985</v>
      </c>
      <c r="O119" s="452">
        <f t="shared" si="114"/>
        <v>949.45999999999992</v>
      </c>
      <c r="P119" s="452">
        <f t="shared" si="114"/>
        <v>45.699999999999996</v>
      </c>
      <c r="Q119" s="452">
        <f t="shared" si="114"/>
        <v>10104.369999999999</v>
      </c>
      <c r="R119" s="452">
        <f t="shared" si="114"/>
        <v>9623.2099999999991</v>
      </c>
      <c r="S119" s="452">
        <f t="shared" si="114"/>
        <v>481.15999999999997</v>
      </c>
      <c r="T119" s="452">
        <f t="shared" si="114"/>
        <v>0</v>
      </c>
      <c r="U119" s="452">
        <f t="shared" ref="U119:AF119" si="115">SUM(U120:U129)</f>
        <v>6749.45</v>
      </c>
      <c r="V119" s="452">
        <f t="shared" si="115"/>
        <v>6398.1</v>
      </c>
      <c r="W119" s="452">
        <f t="shared" si="115"/>
        <v>351.34999999999997</v>
      </c>
      <c r="X119" s="446">
        <f t="shared" si="115"/>
        <v>1822.1</v>
      </c>
      <c r="Y119" s="452">
        <f t="shared" si="115"/>
        <v>1732.1</v>
      </c>
      <c r="Z119" s="452">
        <f t="shared" si="115"/>
        <v>90</v>
      </c>
      <c r="AA119" s="446">
        <f t="shared" si="115"/>
        <v>2447.25</v>
      </c>
      <c r="AB119" s="452">
        <f t="shared" si="115"/>
        <v>2321.9</v>
      </c>
      <c r="AC119" s="452">
        <f t="shared" si="115"/>
        <v>125.35</v>
      </c>
      <c r="AD119" s="446">
        <f t="shared" si="115"/>
        <v>2480.1</v>
      </c>
      <c r="AE119" s="452">
        <f t="shared" si="115"/>
        <v>2344.1</v>
      </c>
      <c r="AF119" s="452">
        <f t="shared" si="115"/>
        <v>136</v>
      </c>
      <c r="AG119" s="452">
        <f>SUM(AG120:AG134)</f>
        <v>3354.92</v>
      </c>
      <c r="AH119" s="452">
        <f>SUM(AH120:AH134)</f>
        <v>3225.11</v>
      </c>
      <c r="AI119" s="452">
        <f>SUM(AI120:AI134)</f>
        <v>129.81</v>
      </c>
      <c r="AJ119" s="452"/>
      <c r="AK119" s="452">
        <f>SUM(AK120:AK129)</f>
        <v>0</v>
      </c>
      <c r="AL119" s="155"/>
      <c r="AM119" s="372">
        <f>+'NĂM 2022'!K50+'NĂM 2023'!N52+'NĂM 2024'!J51+'NĂM 2025'!J46</f>
        <v>10104.369999999999</v>
      </c>
      <c r="AN119" s="372">
        <f>+'NĂM 2022'!L50+'NĂM 2023'!O52+'NĂM 2024'!K51+'NĂM 2025'!K46</f>
        <v>9623.2099999999991</v>
      </c>
      <c r="AO119" s="372">
        <f>+'NĂM 2022'!M50+'NĂM 2023'!P52+'NĂM 2024'!L51+'NĂM 2025'!L46</f>
        <v>481.15999999999997</v>
      </c>
    </row>
    <row r="120" spans="1:41" s="161" customFormat="1" ht="36" hidden="1" customHeight="1">
      <c r="A120" s="135">
        <v>1</v>
      </c>
      <c r="B120" s="334" t="s">
        <v>813</v>
      </c>
      <c r="C120" s="160" t="s">
        <v>814</v>
      </c>
      <c r="D120" s="160" t="s">
        <v>815</v>
      </c>
      <c r="E120" s="160" t="s">
        <v>909</v>
      </c>
      <c r="F120" s="135" t="s">
        <v>52</v>
      </c>
      <c r="G120" s="449">
        <f>H120+I120</f>
        <v>766.5</v>
      </c>
      <c r="H120" s="449">
        <v>730</v>
      </c>
      <c r="I120" s="449">
        <v>36.5</v>
      </c>
      <c r="J120" s="449"/>
      <c r="K120" s="485">
        <f>+L120+M120</f>
        <v>67.899999999999977</v>
      </c>
      <c r="L120" s="449">
        <f>+H120-R120</f>
        <v>67.899999999999977</v>
      </c>
      <c r="M120" s="449">
        <f>+I120-S120</f>
        <v>0</v>
      </c>
      <c r="N120" s="485"/>
      <c r="O120" s="449"/>
      <c r="P120" s="449"/>
      <c r="Q120" s="449">
        <v>698.6</v>
      </c>
      <c r="R120" s="449">
        <v>662.1</v>
      </c>
      <c r="S120" s="449">
        <v>36.5</v>
      </c>
      <c r="T120" s="449"/>
      <c r="U120" s="449">
        <f>+V120+W120</f>
        <v>698.6</v>
      </c>
      <c r="V120" s="449">
        <f t="shared" ref="V120:W132" si="116">+Y120+AB120+AE120</f>
        <v>662.1</v>
      </c>
      <c r="W120" s="449">
        <f t="shared" si="116"/>
        <v>36.5</v>
      </c>
      <c r="X120" s="505">
        <f>Y120+Z120</f>
        <v>698.6</v>
      </c>
      <c r="Y120" s="449">
        <v>662.1</v>
      </c>
      <c r="Z120" s="449">
        <v>36.5</v>
      </c>
      <c r="AA120" s="449"/>
      <c r="AB120" s="485"/>
      <c r="AC120" s="485"/>
      <c r="AD120" s="449"/>
      <c r="AE120" s="485"/>
      <c r="AF120" s="485"/>
      <c r="AG120" s="449"/>
      <c r="AH120" s="485"/>
      <c r="AI120" s="485"/>
      <c r="AJ120" s="449"/>
      <c r="AK120" s="449"/>
      <c r="AL120" s="135"/>
      <c r="AM120" s="517">
        <f>+G119-U119</f>
        <v>3354.9199999999992</v>
      </c>
      <c r="AN120" s="517">
        <f>+H119-V119</f>
        <v>3225.1099999999988</v>
      </c>
      <c r="AO120" s="517">
        <f>+I119-W119</f>
        <v>129.81</v>
      </c>
    </row>
    <row r="121" spans="1:41" s="161" customFormat="1" ht="75.75" hidden="1" customHeight="1">
      <c r="A121" s="135">
        <f>+A120+1</f>
        <v>2</v>
      </c>
      <c r="B121" s="334" t="s">
        <v>910</v>
      </c>
      <c r="C121" s="160" t="s">
        <v>911</v>
      </c>
      <c r="D121" s="160" t="s">
        <v>816</v>
      </c>
      <c r="E121" s="160" t="s">
        <v>341</v>
      </c>
      <c r="F121" s="135" t="s">
        <v>52</v>
      </c>
      <c r="G121" s="449">
        <f t="shared" ref="G121:G122" si="117">H121+I121</f>
        <v>1123.5</v>
      </c>
      <c r="H121" s="449">
        <v>1070</v>
      </c>
      <c r="I121" s="449">
        <v>53.5</v>
      </c>
      <c r="J121" s="449"/>
      <c r="K121" s="485">
        <f t="shared" ref="K121:K132" si="118">+G121-Q121</f>
        <v>0</v>
      </c>
      <c r="L121" s="449"/>
      <c r="M121" s="449"/>
      <c r="N121" s="485"/>
      <c r="O121" s="449"/>
      <c r="P121" s="449"/>
      <c r="Q121" s="449">
        <v>1123.5</v>
      </c>
      <c r="R121" s="449">
        <v>1070</v>
      </c>
      <c r="S121" s="449">
        <v>53.5</v>
      </c>
      <c r="T121" s="449"/>
      <c r="U121" s="449">
        <f>+V121+W121</f>
        <v>1123.5</v>
      </c>
      <c r="V121" s="449">
        <f t="shared" si="116"/>
        <v>1070</v>
      </c>
      <c r="W121" s="449">
        <f t="shared" si="116"/>
        <v>53.5</v>
      </c>
      <c r="X121" s="505">
        <f>Y121+Z121</f>
        <v>1123.5</v>
      </c>
      <c r="Y121" s="449">
        <v>1070</v>
      </c>
      <c r="Z121" s="449">
        <v>53.5</v>
      </c>
      <c r="AA121" s="449"/>
      <c r="AB121" s="485"/>
      <c r="AC121" s="485"/>
      <c r="AD121" s="449"/>
      <c r="AE121" s="485"/>
      <c r="AF121" s="485"/>
      <c r="AG121" s="449"/>
      <c r="AH121" s="485"/>
      <c r="AI121" s="485"/>
      <c r="AJ121" s="449"/>
      <c r="AK121" s="449"/>
      <c r="AL121" s="135"/>
      <c r="AM121" s="516">
        <f>+AM120-AG119</f>
        <v>0</v>
      </c>
      <c r="AN121" s="516">
        <f t="shared" ref="AN121:AO121" si="119">+AN120-AH119</f>
        <v>0</v>
      </c>
      <c r="AO121" s="516">
        <f t="shared" si="119"/>
        <v>0</v>
      </c>
    </row>
    <row r="122" spans="1:41" s="146" customFormat="1" ht="75" hidden="1">
      <c r="A122" s="135">
        <f t="shared" ref="A122:A134" si="120">+A121+1</f>
        <v>3</v>
      </c>
      <c r="B122" s="325" t="s">
        <v>247</v>
      </c>
      <c r="C122" s="141" t="s">
        <v>248</v>
      </c>
      <c r="D122" s="141"/>
      <c r="E122" s="141" t="s">
        <v>208</v>
      </c>
      <c r="F122" s="141">
        <v>2023</v>
      </c>
      <c r="G122" s="447">
        <f t="shared" si="117"/>
        <v>315</v>
      </c>
      <c r="H122" s="447">
        <v>300</v>
      </c>
      <c r="I122" s="447">
        <v>15</v>
      </c>
      <c r="J122" s="448"/>
      <c r="K122" s="485">
        <f t="shared" si="118"/>
        <v>0</v>
      </c>
      <c r="L122" s="448"/>
      <c r="M122" s="448"/>
      <c r="N122" s="483"/>
      <c r="O122" s="448"/>
      <c r="P122" s="448"/>
      <c r="Q122" s="466">
        <v>315</v>
      </c>
      <c r="R122" s="448">
        <v>300</v>
      </c>
      <c r="S122" s="448">
        <v>15</v>
      </c>
      <c r="T122" s="448"/>
      <c r="U122" s="505">
        <f>+V122+W122</f>
        <v>315</v>
      </c>
      <c r="V122" s="505">
        <f t="shared" si="116"/>
        <v>300</v>
      </c>
      <c r="W122" s="505">
        <f t="shared" si="116"/>
        <v>15</v>
      </c>
      <c r="X122" s="445">
        <f t="shared" ref="X122" si="121">Y122+Z122</f>
        <v>0</v>
      </c>
      <c r="Y122" s="448"/>
      <c r="Z122" s="448"/>
      <c r="AA122" s="448">
        <f>+AB122+AC122</f>
        <v>315</v>
      </c>
      <c r="AB122" s="483">
        <v>300</v>
      </c>
      <c r="AC122" s="483">
        <v>15</v>
      </c>
      <c r="AD122" s="448"/>
      <c r="AE122" s="483"/>
      <c r="AF122" s="483"/>
      <c r="AG122" s="448"/>
      <c r="AH122" s="483"/>
      <c r="AI122" s="483"/>
      <c r="AJ122" s="448"/>
      <c r="AK122" s="448"/>
      <c r="AL122" s="141"/>
      <c r="AM122" s="369"/>
      <c r="AN122" s="369"/>
      <c r="AO122" s="369"/>
    </row>
    <row r="123" spans="1:41" s="146" customFormat="1" ht="75" hidden="1">
      <c r="A123" s="135">
        <f t="shared" si="120"/>
        <v>4</v>
      </c>
      <c r="B123" s="325" t="s">
        <v>249</v>
      </c>
      <c r="C123" s="141" t="s">
        <v>250</v>
      </c>
      <c r="D123" s="141"/>
      <c r="E123" s="141" t="s">
        <v>251</v>
      </c>
      <c r="F123" s="141" t="s">
        <v>53</v>
      </c>
      <c r="G123" s="447">
        <f t="shared" si="85"/>
        <v>945</v>
      </c>
      <c r="H123" s="447">
        <v>900</v>
      </c>
      <c r="I123" s="447">
        <v>45</v>
      </c>
      <c r="J123" s="448"/>
      <c r="K123" s="485">
        <f t="shared" si="118"/>
        <v>0</v>
      </c>
      <c r="L123" s="448"/>
      <c r="M123" s="448"/>
      <c r="N123" s="483"/>
      <c r="O123" s="448"/>
      <c r="P123" s="448"/>
      <c r="Q123" s="466">
        <v>945</v>
      </c>
      <c r="R123" s="448">
        <v>900</v>
      </c>
      <c r="S123" s="448">
        <v>45</v>
      </c>
      <c r="T123" s="448"/>
      <c r="U123" s="505">
        <f t="shared" ref="U123:U132" si="122">+V123+W123</f>
        <v>945</v>
      </c>
      <c r="V123" s="505">
        <f t="shared" si="116"/>
        <v>900</v>
      </c>
      <c r="W123" s="505">
        <f t="shared" si="116"/>
        <v>45</v>
      </c>
      <c r="X123" s="445">
        <f t="shared" si="88"/>
        <v>0</v>
      </c>
      <c r="Y123" s="448"/>
      <c r="Z123" s="448"/>
      <c r="AA123" s="448">
        <f t="shared" ref="AA123:AA125" si="123">+AB123+AC123</f>
        <v>945</v>
      </c>
      <c r="AB123" s="483">
        <v>900</v>
      </c>
      <c r="AC123" s="483">
        <v>45</v>
      </c>
      <c r="AD123" s="448"/>
      <c r="AE123" s="483"/>
      <c r="AF123" s="483"/>
      <c r="AG123" s="448"/>
      <c r="AH123" s="483"/>
      <c r="AI123" s="483"/>
      <c r="AJ123" s="448"/>
      <c r="AK123" s="448"/>
      <c r="AL123" s="141"/>
      <c r="AM123" s="369"/>
      <c r="AN123" s="369"/>
      <c r="AO123" s="369"/>
    </row>
    <row r="124" spans="1:41" s="146" customFormat="1" ht="75" hidden="1">
      <c r="A124" s="135">
        <f t="shared" si="120"/>
        <v>5</v>
      </c>
      <c r="B124" s="325" t="s">
        <v>252</v>
      </c>
      <c r="C124" s="141" t="s">
        <v>253</v>
      </c>
      <c r="D124" s="141"/>
      <c r="E124" s="141" t="s">
        <v>159</v>
      </c>
      <c r="F124" s="141" t="s">
        <v>53</v>
      </c>
      <c r="G124" s="447">
        <f t="shared" si="85"/>
        <v>420</v>
      </c>
      <c r="H124" s="447">
        <v>400</v>
      </c>
      <c r="I124" s="447">
        <v>20</v>
      </c>
      <c r="J124" s="448"/>
      <c r="K124" s="485"/>
      <c r="L124" s="448"/>
      <c r="M124" s="448"/>
      <c r="N124" s="483">
        <f>+O124+P124</f>
        <v>363</v>
      </c>
      <c r="O124" s="448">
        <f>+R124-H124</f>
        <v>336.9</v>
      </c>
      <c r="P124" s="448">
        <f>+S124-I124</f>
        <v>26.1</v>
      </c>
      <c r="Q124" s="466">
        <v>783</v>
      </c>
      <c r="R124" s="448">
        <v>736.9</v>
      </c>
      <c r="S124" s="448">
        <v>46.1</v>
      </c>
      <c r="T124" s="448"/>
      <c r="U124" s="505">
        <f t="shared" si="122"/>
        <v>783</v>
      </c>
      <c r="V124" s="505">
        <f t="shared" si="116"/>
        <v>736.9</v>
      </c>
      <c r="W124" s="505">
        <f t="shared" si="116"/>
        <v>46.1</v>
      </c>
      <c r="X124" s="445">
        <f t="shared" si="88"/>
        <v>0</v>
      </c>
      <c r="Y124" s="448"/>
      <c r="Z124" s="448"/>
      <c r="AA124" s="448">
        <f t="shared" si="123"/>
        <v>783</v>
      </c>
      <c r="AB124" s="483">
        <v>736.9</v>
      </c>
      <c r="AC124" s="483">
        <v>46.1</v>
      </c>
      <c r="AD124" s="448"/>
      <c r="AE124" s="483"/>
      <c r="AF124" s="483"/>
      <c r="AG124" s="448"/>
      <c r="AH124" s="483"/>
      <c r="AI124" s="483"/>
      <c r="AJ124" s="448"/>
      <c r="AK124" s="448"/>
      <c r="AL124" s="141"/>
      <c r="AM124" s="369"/>
      <c r="AN124" s="369"/>
      <c r="AO124" s="369"/>
    </row>
    <row r="125" spans="1:41" s="146" customFormat="1" ht="75" hidden="1">
      <c r="A125" s="135">
        <f t="shared" si="120"/>
        <v>6</v>
      </c>
      <c r="B125" s="325" t="s">
        <v>254</v>
      </c>
      <c r="C125" s="141" t="s">
        <v>255</v>
      </c>
      <c r="D125" s="141"/>
      <c r="E125" s="141" t="s">
        <v>256</v>
      </c>
      <c r="F125" s="141" t="s">
        <v>53</v>
      </c>
      <c r="G125" s="447">
        <f t="shared" si="85"/>
        <v>404.25</v>
      </c>
      <c r="H125" s="447">
        <v>385</v>
      </c>
      <c r="I125" s="447">
        <v>19.25</v>
      </c>
      <c r="J125" s="448"/>
      <c r="K125" s="485">
        <f t="shared" si="118"/>
        <v>0</v>
      </c>
      <c r="L125" s="448"/>
      <c r="M125" s="448"/>
      <c r="N125" s="483"/>
      <c r="O125" s="448"/>
      <c r="P125" s="448"/>
      <c r="Q125" s="466">
        <v>404.25</v>
      </c>
      <c r="R125" s="448">
        <v>385</v>
      </c>
      <c r="S125" s="448">
        <v>19.25</v>
      </c>
      <c r="T125" s="448"/>
      <c r="U125" s="505">
        <f t="shared" si="122"/>
        <v>404.25</v>
      </c>
      <c r="V125" s="505">
        <f t="shared" si="116"/>
        <v>385</v>
      </c>
      <c r="W125" s="505">
        <f t="shared" si="116"/>
        <v>19.25</v>
      </c>
      <c r="X125" s="445">
        <f t="shared" si="88"/>
        <v>0</v>
      </c>
      <c r="Y125" s="448"/>
      <c r="Z125" s="448"/>
      <c r="AA125" s="448">
        <f t="shared" si="123"/>
        <v>404.25</v>
      </c>
      <c r="AB125" s="483">
        <v>385</v>
      </c>
      <c r="AC125" s="483">
        <v>19.25</v>
      </c>
      <c r="AD125" s="448"/>
      <c r="AE125" s="483"/>
      <c r="AF125" s="483"/>
      <c r="AG125" s="448"/>
      <c r="AH125" s="483"/>
      <c r="AI125" s="483"/>
      <c r="AJ125" s="448"/>
      <c r="AK125" s="448"/>
      <c r="AL125" s="141"/>
      <c r="AM125" s="369"/>
      <c r="AN125" s="369"/>
      <c r="AO125" s="369"/>
    </row>
    <row r="126" spans="1:41" s="146" customFormat="1" ht="30" hidden="1">
      <c r="A126" s="135">
        <f t="shared" si="120"/>
        <v>7</v>
      </c>
      <c r="B126" s="325" t="s">
        <v>264</v>
      </c>
      <c r="C126" s="141" t="s">
        <v>248</v>
      </c>
      <c r="D126" s="141"/>
      <c r="E126" s="141" t="s">
        <v>265</v>
      </c>
      <c r="F126" s="141" t="s">
        <v>54</v>
      </c>
      <c r="G126" s="447">
        <f t="shared" si="85"/>
        <v>945</v>
      </c>
      <c r="H126" s="447">
        <v>900</v>
      </c>
      <c r="I126" s="447">
        <v>45</v>
      </c>
      <c r="J126" s="448"/>
      <c r="K126" s="485">
        <f>+L126+M126</f>
        <v>100</v>
      </c>
      <c r="L126" s="449">
        <f>+H126-R126</f>
        <v>100</v>
      </c>
      <c r="M126" s="449"/>
      <c r="N126" s="483">
        <f>+O126+P126</f>
        <v>1.3999999999999986</v>
      </c>
      <c r="O126" s="448"/>
      <c r="P126" s="448">
        <f>+S126-I126</f>
        <v>1.3999999999999986</v>
      </c>
      <c r="Q126" s="466">
        <v>846.4</v>
      </c>
      <c r="R126" s="448">
        <v>800</v>
      </c>
      <c r="S126" s="448">
        <v>46.4</v>
      </c>
      <c r="T126" s="448"/>
      <c r="U126" s="505">
        <f t="shared" si="122"/>
        <v>846.4</v>
      </c>
      <c r="V126" s="505">
        <f t="shared" si="116"/>
        <v>800</v>
      </c>
      <c r="W126" s="505">
        <f t="shared" si="116"/>
        <v>46.4</v>
      </c>
      <c r="X126" s="445">
        <f t="shared" si="88"/>
        <v>0</v>
      </c>
      <c r="Y126" s="448"/>
      <c r="Z126" s="448"/>
      <c r="AA126" s="448"/>
      <c r="AB126" s="483"/>
      <c r="AC126" s="483"/>
      <c r="AD126" s="448">
        <f>+AE126+AF126</f>
        <v>846.4</v>
      </c>
      <c r="AE126" s="483">
        <v>800</v>
      </c>
      <c r="AF126" s="483">
        <v>46.4</v>
      </c>
      <c r="AG126" s="448"/>
      <c r="AH126" s="483"/>
      <c r="AI126" s="483"/>
      <c r="AJ126" s="448"/>
      <c r="AK126" s="448"/>
      <c r="AL126" s="145"/>
      <c r="AM126" s="369"/>
      <c r="AN126" s="369"/>
      <c r="AO126" s="369"/>
    </row>
    <row r="127" spans="1:41" s="146" customFormat="1" ht="30" hidden="1">
      <c r="A127" s="135">
        <f t="shared" si="120"/>
        <v>8</v>
      </c>
      <c r="B127" s="325" t="s">
        <v>267</v>
      </c>
      <c r="C127" s="141" t="s">
        <v>268</v>
      </c>
      <c r="D127" s="141"/>
      <c r="E127" s="141" t="s">
        <v>269</v>
      </c>
      <c r="F127" s="141" t="s">
        <v>54</v>
      </c>
      <c r="G127" s="447">
        <f t="shared" si="85"/>
        <v>577.5</v>
      </c>
      <c r="H127" s="447">
        <v>550</v>
      </c>
      <c r="I127" s="447">
        <v>27.5</v>
      </c>
      <c r="J127" s="448"/>
      <c r="K127" s="485">
        <f>+L127+M127</f>
        <v>96.1</v>
      </c>
      <c r="L127" s="449">
        <f>+H127-R127</f>
        <v>95</v>
      </c>
      <c r="M127" s="449">
        <f>+I127-S127</f>
        <v>1.1000000000000014</v>
      </c>
      <c r="N127" s="483"/>
      <c r="O127" s="448"/>
      <c r="P127" s="448"/>
      <c r="Q127" s="466">
        <v>481.4</v>
      </c>
      <c r="R127" s="448">
        <v>455</v>
      </c>
      <c r="S127" s="448">
        <v>26.4</v>
      </c>
      <c r="T127" s="448"/>
      <c r="U127" s="505">
        <f t="shared" si="122"/>
        <v>481.4</v>
      </c>
      <c r="V127" s="505">
        <f t="shared" si="116"/>
        <v>455</v>
      </c>
      <c r="W127" s="505">
        <f t="shared" si="116"/>
        <v>26.4</v>
      </c>
      <c r="X127" s="445">
        <f t="shared" si="88"/>
        <v>0</v>
      </c>
      <c r="Y127" s="448"/>
      <c r="Z127" s="448"/>
      <c r="AA127" s="448"/>
      <c r="AB127" s="483"/>
      <c r="AC127" s="483"/>
      <c r="AD127" s="448">
        <f>+AE127+AF127</f>
        <v>481.4</v>
      </c>
      <c r="AE127" s="483">
        <v>455</v>
      </c>
      <c r="AF127" s="483">
        <v>26.4</v>
      </c>
      <c r="AG127" s="448"/>
      <c r="AH127" s="483"/>
      <c r="AI127" s="483"/>
      <c r="AJ127" s="448"/>
      <c r="AK127" s="448"/>
      <c r="AL127" s="145"/>
      <c r="AM127" s="369"/>
      <c r="AN127" s="369"/>
      <c r="AO127" s="369"/>
    </row>
    <row r="128" spans="1:41" s="146" customFormat="1" ht="75" hidden="1">
      <c r="A128" s="135">
        <f t="shared" si="120"/>
        <v>9</v>
      </c>
      <c r="B128" s="325" t="s">
        <v>270</v>
      </c>
      <c r="C128" s="141" t="s">
        <v>271</v>
      </c>
      <c r="D128" s="141"/>
      <c r="E128" s="141" t="s">
        <v>110</v>
      </c>
      <c r="F128" s="141" t="s">
        <v>54</v>
      </c>
      <c r="G128" s="447">
        <f t="shared" si="85"/>
        <v>735</v>
      </c>
      <c r="H128" s="447">
        <v>700</v>
      </c>
      <c r="I128" s="447">
        <v>35</v>
      </c>
      <c r="J128" s="448"/>
      <c r="K128" s="485">
        <f>+L128+M128</f>
        <v>40</v>
      </c>
      <c r="L128" s="449">
        <f>+H128-R128</f>
        <v>40</v>
      </c>
      <c r="M128" s="449"/>
      <c r="N128" s="483">
        <f>+O128+P128</f>
        <v>3.2999999999999972</v>
      </c>
      <c r="O128" s="448"/>
      <c r="P128" s="448">
        <f>+S128-I128</f>
        <v>3.2999999999999972</v>
      </c>
      <c r="Q128" s="466">
        <v>698.3</v>
      </c>
      <c r="R128" s="448">
        <v>660</v>
      </c>
      <c r="S128" s="448">
        <v>38.299999999999997</v>
      </c>
      <c r="T128" s="448"/>
      <c r="U128" s="505">
        <f t="shared" si="122"/>
        <v>698.3</v>
      </c>
      <c r="V128" s="505">
        <f t="shared" si="116"/>
        <v>660</v>
      </c>
      <c r="W128" s="505">
        <f t="shared" si="116"/>
        <v>38.299999999999997</v>
      </c>
      <c r="X128" s="445">
        <f t="shared" si="88"/>
        <v>0</v>
      </c>
      <c r="Y128" s="448"/>
      <c r="Z128" s="448"/>
      <c r="AA128" s="448"/>
      <c r="AB128" s="483"/>
      <c r="AC128" s="483"/>
      <c r="AD128" s="448">
        <f t="shared" ref="AD128:AD129" si="124">+AE128+AF128</f>
        <v>698.3</v>
      </c>
      <c r="AE128" s="483">
        <v>660</v>
      </c>
      <c r="AF128" s="483">
        <v>38.299999999999997</v>
      </c>
      <c r="AG128" s="448"/>
      <c r="AH128" s="483"/>
      <c r="AI128" s="483"/>
      <c r="AJ128" s="448"/>
      <c r="AK128" s="448"/>
      <c r="AL128" s="141"/>
      <c r="AM128" s="369"/>
      <c r="AN128" s="369"/>
      <c r="AO128" s="369"/>
    </row>
    <row r="129" spans="1:41" s="146" customFormat="1" ht="75" hidden="1">
      <c r="A129" s="135">
        <f t="shared" si="120"/>
        <v>10</v>
      </c>
      <c r="B129" s="325" t="s">
        <v>272</v>
      </c>
      <c r="C129" s="141" t="s">
        <v>273</v>
      </c>
      <c r="D129" s="141"/>
      <c r="E129" s="141" t="s">
        <v>128</v>
      </c>
      <c r="F129" s="141" t="s">
        <v>54</v>
      </c>
      <c r="G129" s="447">
        <f t="shared" si="85"/>
        <v>932.62</v>
      </c>
      <c r="H129" s="447">
        <v>888.21</v>
      </c>
      <c r="I129" s="447">
        <v>44.41</v>
      </c>
      <c r="J129" s="448"/>
      <c r="K129" s="485">
        <f>+L129+M129</f>
        <v>478.62</v>
      </c>
      <c r="L129" s="449">
        <f>+H129-R129</f>
        <v>459.11</v>
      </c>
      <c r="M129" s="449">
        <f>+I129-S129</f>
        <v>19.509999999999998</v>
      </c>
      <c r="N129" s="483"/>
      <c r="O129" s="448"/>
      <c r="P129" s="448"/>
      <c r="Q129" s="466">
        <v>454</v>
      </c>
      <c r="R129" s="448">
        <v>429.1</v>
      </c>
      <c r="S129" s="448">
        <v>24.9</v>
      </c>
      <c r="T129" s="448"/>
      <c r="U129" s="505">
        <f t="shared" si="122"/>
        <v>454</v>
      </c>
      <c r="V129" s="505">
        <f t="shared" si="116"/>
        <v>429.1</v>
      </c>
      <c r="W129" s="505">
        <f t="shared" si="116"/>
        <v>24.9</v>
      </c>
      <c r="X129" s="445">
        <f t="shared" si="88"/>
        <v>0</v>
      </c>
      <c r="Y129" s="448"/>
      <c r="Z129" s="448"/>
      <c r="AA129" s="448"/>
      <c r="AB129" s="483"/>
      <c r="AC129" s="483"/>
      <c r="AD129" s="448">
        <f t="shared" si="124"/>
        <v>454</v>
      </c>
      <c r="AE129" s="483">
        <v>429.1</v>
      </c>
      <c r="AF129" s="483">
        <v>24.9</v>
      </c>
      <c r="AG129" s="448"/>
      <c r="AH129" s="483"/>
      <c r="AI129" s="483"/>
      <c r="AJ129" s="448"/>
      <c r="AK129" s="448"/>
      <c r="AL129" s="141"/>
      <c r="AM129" s="369"/>
      <c r="AN129" s="369"/>
      <c r="AO129" s="369"/>
    </row>
    <row r="130" spans="1:41" s="146" customFormat="1" ht="60" hidden="1">
      <c r="A130" s="135">
        <f t="shared" si="120"/>
        <v>11</v>
      </c>
      <c r="B130" s="325" t="s">
        <v>260</v>
      </c>
      <c r="C130" s="141" t="s">
        <v>255</v>
      </c>
      <c r="D130" s="141"/>
      <c r="E130" s="150" t="s">
        <v>261</v>
      </c>
      <c r="F130" s="141" t="s">
        <v>55</v>
      </c>
      <c r="G130" s="447">
        <f t="shared" si="85"/>
        <v>525</v>
      </c>
      <c r="H130" s="447">
        <v>500</v>
      </c>
      <c r="I130" s="447">
        <v>25</v>
      </c>
      <c r="J130" s="448"/>
      <c r="K130" s="485">
        <f t="shared" si="118"/>
        <v>0</v>
      </c>
      <c r="L130" s="448"/>
      <c r="M130" s="448"/>
      <c r="N130" s="483"/>
      <c r="O130" s="448"/>
      <c r="P130" s="448"/>
      <c r="Q130" s="447">
        <f t="shared" ref="Q130:Q132" si="125">R130+S130</f>
        <v>525</v>
      </c>
      <c r="R130" s="447">
        <v>500</v>
      </c>
      <c r="S130" s="447">
        <v>25</v>
      </c>
      <c r="T130" s="448"/>
      <c r="U130" s="505">
        <f t="shared" si="122"/>
        <v>0</v>
      </c>
      <c r="V130" s="505">
        <f t="shared" si="116"/>
        <v>0</v>
      </c>
      <c r="W130" s="505">
        <f t="shared" si="116"/>
        <v>0</v>
      </c>
      <c r="X130" s="445">
        <f t="shared" si="88"/>
        <v>0</v>
      </c>
      <c r="Y130" s="448"/>
      <c r="Z130" s="448"/>
      <c r="AA130" s="448"/>
      <c r="AB130" s="483"/>
      <c r="AC130" s="483"/>
      <c r="AD130" s="448"/>
      <c r="AE130" s="483"/>
      <c r="AF130" s="483"/>
      <c r="AG130" s="447">
        <f t="shared" ref="AG130:AG132" si="126">AH130+AI130</f>
        <v>525</v>
      </c>
      <c r="AH130" s="447">
        <v>500</v>
      </c>
      <c r="AI130" s="447">
        <v>25</v>
      </c>
      <c r="AJ130" s="448"/>
      <c r="AK130" s="448"/>
      <c r="AL130" s="141"/>
      <c r="AM130" s="369"/>
      <c r="AN130" s="369"/>
      <c r="AO130" s="369"/>
    </row>
    <row r="131" spans="1:41" s="146" customFormat="1" ht="60" hidden="1">
      <c r="A131" s="135">
        <f t="shared" si="120"/>
        <v>12</v>
      </c>
      <c r="B131" s="325" t="s">
        <v>262</v>
      </c>
      <c r="C131" s="141" t="s">
        <v>255</v>
      </c>
      <c r="D131" s="141"/>
      <c r="E131" s="150" t="s">
        <v>263</v>
      </c>
      <c r="F131" s="141" t="s">
        <v>55</v>
      </c>
      <c r="G131" s="447">
        <f t="shared" si="85"/>
        <v>630</v>
      </c>
      <c r="H131" s="447">
        <v>600</v>
      </c>
      <c r="I131" s="447">
        <v>30</v>
      </c>
      <c r="J131" s="448"/>
      <c r="K131" s="485">
        <f t="shared" si="118"/>
        <v>0</v>
      </c>
      <c r="L131" s="448"/>
      <c r="M131" s="448"/>
      <c r="N131" s="483"/>
      <c r="O131" s="448"/>
      <c r="P131" s="448"/>
      <c r="Q131" s="447">
        <f t="shared" si="125"/>
        <v>630</v>
      </c>
      <c r="R131" s="447">
        <v>600</v>
      </c>
      <c r="S131" s="447">
        <v>30</v>
      </c>
      <c r="T131" s="448"/>
      <c r="U131" s="505">
        <f t="shared" si="122"/>
        <v>0</v>
      </c>
      <c r="V131" s="505">
        <f t="shared" si="116"/>
        <v>0</v>
      </c>
      <c r="W131" s="505">
        <f t="shared" si="116"/>
        <v>0</v>
      </c>
      <c r="X131" s="445">
        <f t="shared" si="88"/>
        <v>0</v>
      </c>
      <c r="Y131" s="448"/>
      <c r="Z131" s="448"/>
      <c r="AA131" s="448"/>
      <c r="AB131" s="483"/>
      <c r="AC131" s="483"/>
      <c r="AD131" s="448"/>
      <c r="AE131" s="483"/>
      <c r="AF131" s="483"/>
      <c r="AG131" s="447">
        <f t="shared" si="126"/>
        <v>630</v>
      </c>
      <c r="AH131" s="447">
        <v>600</v>
      </c>
      <c r="AI131" s="447">
        <v>30</v>
      </c>
      <c r="AJ131" s="448"/>
      <c r="AK131" s="448"/>
      <c r="AL131" s="141"/>
      <c r="AM131" s="369"/>
      <c r="AN131" s="369"/>
      <c r="AO131" s="369"/>
    </row>
    <row r="132" spans="1:41" s="146" customFormat="1" ht="60" hidden="1">
      <c r="A132" s="135">
        <f t="shared" si="120"/>
        <v>13</v>
      </c>
      <c r="B132" s="325" t="s">
        <v>912</v>
      </c>
      <c r="C132" s="141" t="s">
        <v>258</v>
      </c>
      <c r="D132" s="141"/>
      <c r="E132" s="150" t="s">
        <v>266</v>
      </c>
      <c r="F132" s="141" t="s">
        <v>55</v>
      </c>
      <c r="G132" s="447">
        <f t="shared" si="85"/>
        <v>945</v>
      </c>
      <c r="H132" s="447">
        <v>900</v>
      </c>
      <c r="I132" s="447">
        <v>45</v>
      </c>
      <c r="J132" s="448"/>
      <c r="K132" s="485">
        <f t="shared" si="118"/>
        <v>0</v>
      </c>
      <c r="L132" s="448"/>
      <c r="M132" s="448"/>
      <c r="N132" s="483"/>
      <c r="O132" s="448"/>
      <c r="P132" s="448"/>
      <c r="Q132" s="447">
        <f t="shared" si="125"/>
        <v>945</v>
      </c>
      <c r="R132" s="447">
        <v>900</v>
      </c>
      <c r="S132" s="447">
        <v>45</v>
      </c>
      <c r="T132" s="448"/>
      <c r="U132" s="505">
        <f t="shared" si="122"/>
        <v>0</v>
      </c>
      <c r="V132" s="505">
        <f t="shared" si="116"/>
        <v>0</v>
      </c>
      <c r="W132" s="505">
        <f t="shared" si="116"/>
        <v>0</v>
      </c>
      <c r="X132" s="445">
        <f t="shared" si="88"/>
        <v>0</v>
      </c>
      <c r="Y132" s="448"/>
      <c r="Z132" s="448"/>
      <c r="AA132" s="448"/>
      <c r="AB132" s="483"/>
      <c r="AC132" s="483"/>
      <c r="AD132" s="448"/>
      <c r="AE132" s="483"/>
      <c r="AF132" s="483"/>
      <c r="AG132" s="447">
        <f t="shared" si="126"/>
        <v>945</v>
      </c>
      <c r="AH132" s="447">
        <v>900</v>
      </c>
      <c r="AI132" s="447">
        <v>45</v>
      </c>
      <c r="AJ132" s="448"/>
      <c r="AK132" s="448"/>
      <c r="AL132" s="141"/>
      <c r="AM132" s="369"/>
      <c r="AN132" s="369"/>
      <c r="AO132" s="369"/>
    </row>
    <row r="133" spans="1:41" s="146" customFormat="1" ht="30" hidden="1">
      <c r="A133" s="135">
        <f t="shared" si="120"/>
        <v>14</v>
      </c>
      <c r="B133" s="325" t="s">
        <v>1146</v>
      </c>
      <c r="C133" s="141" t="s">
        <v>253</v>
      </c>
      <c r="D133" s="141" t="s">
        <v>55</v>
      </c>
      <c r="E133" s="141"/>
      <c r="F133" s="141" t="s">
        <v>55</v>
      </c>
      <c r="G133" s="447">
        <f t="shared" si="85"/>
        <v>840</v>
      </c>
      <c r="H133" s="447">
        <v>800</v>
      </c>
      <c r="I133" s="447">
        <v>40</v>
      </c>
      <c r="J133" s="448"/>
      <c r="K133" s="485">
        <f>+L133+M133</f>
        <v>212.54000000000005</v>
      </c>
      <c r="L133" s="449">
        <f>+H133-R133</f>
        <v>187.45000000000005</v>
      </c>
      <c r="M133" s="449">
        <f>+I133-S133</f>
        <v>25.09</v>
      </c>
      <c r="N133" s="483"/>
      <c r="O133" s="448"/>
      <c r="P133" s="448"/>
      <c r="Q133" s="448">
        <f t="shared" ref="Q133:Q134" si="127">+R133+S133</f>
        <v>627.45999999999992</v>
      </c>
      <c r="R133" s="483">
        <v>612.54999999999995</v>
      </c>
      <c r="S133" s="483">
        <f>31.3-16.39</f>
        <v>14.91</v>
      </c>
      <c r="T133" s="448"/>
      <c r="U133" s="505"/>
      <c r="V133" s="505"/>
      <c r="W133" s="505"/>
      <c r="X133" s="445"/>
      <c r="Y133" s="448"/>
      <c r="Z133" s="448"/>
      <c r="AA133" s="448"/>
      <c r="AB133" s="483"/>
      <c r="AC133" s="483"/>
      <c r="AD133" s="448"/>
      <c r="AE133" s="483"/>
      <c r="AF133" s="483"/>
      <c r="AG133" s="448">
        <f t="shared" ref="AG133:AG134" si="128">+AH133+AI133</f>
        <v>627.45999999999992</v>
      </c>
      <c r="AH133" s="483">
        <v>612.54999999999995</v>
      </c>
      <c r="AI133" s="483">
        <f>31.3-16.39</f>
        <v>14.91</v>
      </c>
      <c r="AJ133" s="448"/>
      <c r="AK133" s="448"/>
      <c r="AL133" s="141"/>
      <c r="AM133" s="369"/>
      <c r="AN133" s="369"/>
      <c r="AO133" s="369"/>
    </row>
    <row r="134" spans="1:41" s="146" customFormat="1" ht="30" hidden="1">
      <c r="A134" s="135">
        <f t="shared" si="120"/>
        <v>15</v>
      </c>
      <c r="B134" s="325" t="s">
        <v>1147</v>
      </c>
      <c r="C134" s="141" t="s">
        <v>273</v>
      </c>
      <c r="D134" s="141" t="s">
        <v>55</v>
      </c>
      <c r="E134" s="141"/>
      <c r="F134" s="141" t="s">
        <v>55</v>
      </c>
      <c r="G134" s="447"/>
      <c r="H134" s="447"/>
      <c r="I134" s="447"/>
      <c r="J134" s="448"/>
      <c r="K134" s="485"/>
      <c r="L134" s="448"/>
      <c r="M134" s="448"/>
      <c r="N134" s="448">
        <f t="shared" ref="N134" si="129">+O134+P134</f>
        <v>627.45999999999992</v>
      </c>
      <c r="O134" s="483">
        <v>612.55999999999995</v>
      </c>
      <c r="P134" s="483">
        <v>14.9</v>
      </c>
      <c r="Q134" s="448">
        <f t="shared" si="127"/>
        <v>627.45999999999992</v>
      </c>
      <c r="R134" s="483">
        <v>612.55999999999995</v>
      </c>
      <c r="S134" s="483">
        <v>14.9</v>
      </c>
      <c r="T134" s="448"/>
      <c r="U134" s="505"/>
      <c r="V134" s="505"/>
      <c r="W134" s="505"/>
      <c r="X134" s="445"/>
      <c r="Y134" s="448"/>
      <c r="Z134" s="448"/>
      <c r="AA134" s="448"/>
      <c r="AB134" s="483"/>
      <c r="AC134" s="483"/>
      <c r="AD134" s="448"/>
      <c r="AE134" s="483"/>
      <c r="AF134" s="483"/>
      <c r="AG134" s="448">
        <f t="shared" si="128"/>
        <v>627.45999999999992</v>
      </c>
      <c r="AH134" s="483">
        <v>612.55999999999995</v>
      </c>
      <c r="AI134" s="483">
        <v>14.9</v>
      </c>
      <c r="AJ134" s="448"/>
      <c r="AK134" s="448"/>
      <c r="AL134" s="141"/>
      <c r="AM134" s="369"/>
      <c r="AN134" s="369"/>
      <c r="AO134" s="369"/>
    </row>
    <row r="135" spans="1:41" s="14" customFormat="1" ht="23.25" customHeight="1">
      <c r="A135" s="422" t="s">
        <v>995</v>
      </c>
      <c r="B135" s="508" t="s">
        <v>275</v>
      </c>
      <c r="C135" s="423"/>
      <c r="D135" s="423"/>
      <c r="E135" s="417">
        <v>0</v>
      </c>
      <c r="F135" s="417"/>
      <c r="G135" s="446">
        <f t="shared" ref="G135:T135" si="130">SUM(G136:G150)</f>
        <v>10115.23</v>
      </c>
      <c r="H135" s="446">
        <f t="shared" si="130"/>
        <v>9633.23</v>
      </c>
      <c r="I135" s="446">
        <f t="shared" si="130"/>
        <v>482</v>
      </c>
      <c r="J135" s="446">
        <f t="shared" si="130"/>
        <v>0</v>
      </c>
      <c r="K135" s="446">
        <f t="shared" si="130"/>
        <v>1083.52</v>
      </c>
      <c r="L135" s="446">
        <f t="shared" si="130"/>
        <v>1029.02</v>
      </c>
      <c r="M135" s="446">
        <f t="shared" si="130"/>
        <v>54.5</v>
      </c>
      <c r="N135" s="446">
        <f t="shared" si="130"/>
        <v>1083.52</v>
      </c>
      <c r="O135" s="446">
        <f t="shared" si="130"/>
        <v>1029.02</v>
      </c>
      <c r="P135" s="446">
        <f t="shared" si="130"/>
        <v>54.5</v>
      </c>
      <c r="Q135" s="446">
        <f t="shared" si="130"/>
        <v>10115.230000000001</v>
      </c>
      <c r="R135" s="446">
        <f t="shared" si="130"/>
        <v>9633.2300000000014</v>
      </c>
      <c r="S135" s="446">
        <f t="shared" si="130"/>
        <v>482</v>
      </c>
      <c r="T135" s="446">
        <f t="shared" si="130"/>
        <v>0</v>
      </c>
      <c r="U135" s="446">
        <f t="shared" ref="U135:AF135" si="131">SUM(U136:U146)</f>
        <v>6753.7800000000007</v>
      </c>
      <c r="V135" s="446">
        <f t="shared" si="131"/>
        <v>6404.7800000000007</v>
      </c>
      <c r="W135" s="446">
        <f t="shared" si="131"/>
        <v>349</v>
      </c>
      <c r="X135" s="446">
        <f t="shared" si="131"/>
        <v>1820.8</v>
      </c>
      <c r="Y135" s="446">
        <f t="shared" si="131"/>
        <v>1733.8</v>
      </c>
      <c r="Z135" s="446">
        <f t="shared" si="131"/>
        <v>87</v>
      </c>
      <c r="AA135" s="446">
        <f t="shared" si="131"/>
        <v>2449.88</v>
      </c>
      <c r="AB135" s="446">
        <f t="shared" si="131"/>
        <v>2324.38</v>
      </c>
      <c r="AC135" s="446">
        <f t="shared" si="131"/>
        <v>125.5</v>
      </c>
      <c r="AD135" s="446">
        <f t="shared" si="131"/>
        <v>2483.1</v>
      </c>
      <c r="AE135" s="446">
        <f t="shared" si="131"/>
        <v>2346.6</v>
      </c>
      <c r="AF135" s="446">
        <f t="shared" si="131"/>
        <v>136.5</v>
      </c>
      <c r="AG135" s="446">
        <f>SUM(AG136:AG150)</f>
        <v>3361.45</v>
      </c>
      <c r="AH135" s="446">
        <f>SUM(AH136:AH150)</f>
        <v>3228.45</v>
      </c>
      <c r="AI135" s="446">
        <f>SUM(AI136:AI150)</f>
        <v>133</v>
      </c>
      <c r="AJ135" s="446"/>
      <c r="AK135" s="446">
        <f>SUM(AK136:AK146)</f>
        <v>0</v>
      </c>
      <c r="AL135" s="16"/>
      <c r="AM135" s="368">
        <f>+'NĂM 2022'!K53+'NĂM 2023'!N59+'NĂM 2024'!J56+'NĂM 2025'!J50</f>
        <v>10115.23</v>
      </c>
      <c r="AN135" s="368">
        <f>+'NĂM 2022'!L53+'NĂM 2023'!O59+'NĂM 2024'!K56+'NĂM 2025'!K50</f>
        <v>9633.23</v>
      </c>
      <c r="AO135" s="368">
        <f>+'NĂM 2022'!M53+'NĂM 2023'!P59+'NĂM 2024'!L56+'NĂM 2025'!L50</f>
        <v>482</v>
      </c>
    </row>
    <row r="136" spans="1:41" ht="75" hidden="1">
      <c r="A136" s="27">
        <v>1</v>
      </c>
      <c r="B136" s="336" t="s">
        <v>276</v>
      </c>
      <c r="C136" s="27" t="s">
        <v>277</v>
      </c>
      <c r="D136" s="27"/>
      <c r="E136" s="8" t="s">
        <v>278</v>
      </c>
      <c r="F136" s="27" t="s">
        <v>52</v>
      </c>
      <c r="G136" s="445">
        <f t="shared" si="85"/>
        <v>1316.8</v>
      </c>
      <c r="H136" s="445">
        <v>1253.8</v>
      </c>
      <c r="I136" s="445">
        <v>63</v>
      </c>
      <c r="J136" s="451">
        <v>0</v>
      </c>
      <c r="K136" s="483">
        <f>+G136-Q136</f>
        <v>0</v>
      </c>
      <c r="L136" s="451"/>
      <c r="M136" s="451"/>
      <c r="N136" s="483"/>
      <c r="O136" s="451"/>
      <c r="P136" s="451"/>
      <c r="Q136" s="466">
        <f>+R136+S136</f>
        <v>1316.8</v>
      </c>
      <c r="R136" s="451">
        <v>1253.8</v>
      </c>
      <c r="S136" s="451">
        <v>63</v>
      </c>
      <c r="T136" s="451"/>
      <c r="U136" s="451">
        <f>+V136+W136</f>
        <v>1316.8</v>
      </c>
      <c r="V136" s="451">
        <f>+Y136+AB136+AE136</f>
        <v>1253.8</v>
      </c>
      <c r="W136" s="451">
        <f>+Z136+AC136+AF136</f>
        <v>63</v>
      </c>
      <c r="X136" s="445">
        <f t="shared" si="88"/>
        <v>1316.8</v>
      </c>
      <c r="Y136" s="445">
        <v>1253.8</v>
      </c>
      <c r="Z136" s="445">
        <v>63</v>
      </c>
      <c r="AA136" s="445"/>
      <c r="AB136" s="481"/>
      <c r="AC136" s="481"/>
      <c r="AD136" s="445"/>
      <c r="AE136" s="481"/>
      <c r="AF136" s="481"/>
      <c r="AG136" s="445"/>
      <c r="AH136" s="481"/>
      <c r="AI136" s="481"/>
      <c r="AJ136" s="445"/>
      <c r="AK136" s="451"/>
      <c r="AL136" s="15"/>
      <c r="AM136" s="506">
        <f>+G135-U135</f>
        <v>3361.4499999999989</v>
      </c>
      <c r="AN136" s="506">
        <f>+H135-V135</f>
        <v>3228.4499999999989</v>
      </c>
      <c r="AO136" s="506">
        <f>+I135-W135</f>
        <v>133</v>
      </c>
    </row>
    <row r="137" spans="1:41" ht="75" hidden="1">
      <c r="A137" s="27">
        <f>+A136+1</f>
        <v>2</v>
      </c>
      <c r="B137" s="336" t="s">
        <v>279</v>
      </c>
      <c r="C137" s="27" t="s">
        <v>280</v>
      </c>
      <c r="D137" s="27"/>
      <c r="E137" s="8" t="s">
        <v>281</v>
      </c>
      <c r="F137" s="27" t="s">
        <v>52</v>
      </c>
      <c r="G137" s="445">
        <f t="shared" si="85"/>
        <v>420</v>
      </c>
      <c r="H137" s="445">
        <v>400</v>
      </c>
      <c r="I137" s="445">
        <v>20</v>
      </c>
      <c r="J137" s="451">
        <v>0</v>
      </c>
      <c r="K137" s="483">
        <f t="shared" ref="K137:K149" si="132">+G137-Q137</f>
        <v>0</v>
      </c>
      <c r="L137" s="451"/>
      <c r="M137" s="451"/>
      <c r="N137" s="483"/>
      <c r="O137" s="451"/>
      <c r="P137" s="451"/>
      <c r="Q137" s="466">
        <f t="shared" ref="Q137:Q150" si="133">+R137+S137</f>
        <v>420</v>
      </c>
      <c r="R137" s="451">
        <v>400</v>
      </c>
      <c r="S137" s="451">
        <v>20</v>
      </c>
      <c r="T137" s="451"/>
      <c r="U137" s="451">
        <f t="shared" ref="U137:U146" si="134">+V137+W137</f>
        <v>420</v>
      </c>
      <c r="V137" s="451">
        <f t="shared" ref="V137:W149" si="135">+Y137+AB137+AE137</f>
        <v>400</v>
      </c>
      <c r="W137" s="451">
        <f t="shared" si="135"/>
        <v>20</v>
      </c>
      <c r="X137" s="445">
        <f t="shared" si="88"/>
        <v>420</v>
      </c>
      <c r="Y137" s="445">
        <v>400</v>
      </c>
      <c r="Z137" s="445">
        <v>20</v>
      </c>
      <c r="AA137" s="445"/>
      <c r="AB137" s="481"/>
      <c r="AC137" s="481"/>
      <c r="AD137" s="445"/>
      <c r="AE137" s="481"/>
      <c r="AF137" s="481"/>
      <c r="AG137" s="445"/>
      <c r="AH137" s="481"/>
      <c r="AI137" s="481"/>
      <c r="AJ137" s="445"/>
      <c r="AK137" s="451"/>
      <c r="AL137" s="15"/>
      <c r="AM137" s="365">
        <f>+AM136-AG135</f>
        <v>0</v>
      </c>
      <c r="AN137" s="365">
        <f t="shared" ref="AN137:AO137" si="136">+AN136-AH135</f>
        <v>0</v>
      </c>
      <c r="AO137" s="365">
        <f t="shared" si="136"/>
        <v>0</v>
      </c>
    </row>
    <row r="138" spans="1:41" ht="75" hidden="1">
      <c r="A138" s="27">
        <f t="shared" ref="A138:A150" si="137">+A137+1</f>
        <v>3</v>
      </c>
      <c r="B138" s="336" t="s">
        <v>282</v>
      </c>
      <c r="C138" s="27" t="s">
        <v>275</v>
      </c>
      <c r="D138" s="27"/>
      <c r="E138" s="8" t="s">
        <v>283</v>
      </c>
      <c r="F138" s="27" t="s">
        <v>52</v>
      </c>
      <c r="G138" s="445">
        <f t="shared" si="85"/>
        <v>84</v>
      </c>
      <c r="H138" s="445">
        <v>80</v>
      </c>
      <c r="I138" s="445">
        <v>4</v>
      </c>
      <c r="J138" s="451">
        <v>0</v>
      </c>
      <c r="K138" s="483">
        <f t="shared" si="132"/>
        <v>0</v>
      </c>
      <c r="L138" s="451"/>
      <c r="M138" s="451"/>
      <c r="N138" s="483"/>
      <c r="O138" s="451"/>
      <c r="P138" s="451"/>
      <c r="Q138" s="466">
        <f t="shared" si="133"/>
        <v>84</v>
      </c>
      <c r="R138" s="451">
        <v>80</v>
      </c>
      <c r="S138" s="451">
        <v>4</v>
      </c>
      <c r="T138" s="451"/>
      <c r="U138" s="451">
        <f t="shared" si="134"/>
        <v>84</v>
      </c>
      <c r="V138" s="451">
        <f t="shared" si="135"/>
        <v>80</v>
      </c>
      <c r="W138" s="451">
        <f t="shared" si="135"/>
        <v>4</v>
      </c>
      <c r="X138" s="445">
        <f t="shared" si="88"/>
        <v>84</v>
      </c>
      <c r="Y138" s="445">
        <v>80</v>
      </c>
      <c r="Z138" s="445">
        <v>4</v>
      </c>
      <c r="AA138" s="445"/>
      <c r="AB138" s="481"/>
      <c r="AC138" s="481"/>
      <c r="AD138" s="445"/>
      <c r="AE138" s="481"/>
      <c r="AF138" s="481"/>
      <c r="AG138" s="445"/>
      <c r="AH138" s="481"/>
      <c r="AI138" s="481"/>
      <c r="AJ138" s="445"/>
      <c r="AK138" s="451"/>
      <c r="AL138" s="15"/>
    </row>
    <row r="139" spans="1:41" ht="75" hidden="1">
      <c r="A139" s="27">
        <f t="shared" si="137"/>
        <v>4</v>
      </c>
      <c r="B139" s="336" t="s">
        <v>284</v>
      </c>
      <c r="C139" s="27" t="s">
        <v>285</v>
      </c>
      <c r="D139" s="27"/>
      <c r="E139" s="8" t="s">
        <v>286</v>
      </c>
      <c r="F139" s="27" t="s">
        <v>53</v>
      </c>
      <c r="G139" s="445">
        <f t="shared" si="85"/>
        <v>525</v>
      </c>
      <c r="H139" s="445">
        <v>500</v>
      </c>
      <c r="I139" s="445">
        <v>25</v>
      </c>
      <c r="J139" s="451">
        <v>0</v>
      </c>
      <c r="K139" s="483">
        <f>+L139+M139</f>
        <v>50</v>
      </c>
      <c r="L139" s="451">
        <f>+H139-R139</f>
        <v>50</v>
      </c>
      <c r="M139" s="451"/>
      <c r="N139" s="483">
        <f>+O139+P139</f>
        <v>5</v>
      </c>
      <c r="O139" s="451"/>
      <c r="P139" s="451">
        <f>+S139-I139</f>
        <v>5</v>
      </c>
      <c r="Q139" s="466">
        <f t="shared" si="133"/>
        <v>480</v>
      </c>
      <c r="R139" s="451">
        <v>450</v>
      </c>
      <c r="S139" s="451">
        <v>30</v>
      </c>
      <c r="T139" s="451"/>
      <c r="U139" s="451">
        <f t="shared" si="134"/>
        <v>480</v>
      </c>
      <c r="V139" s="451">
        <f t="shared" si="135"/>
        <v>450</v>
      </c>
      <c r="W139" s="451">
        <f t="shared" si="135"/>
        <v>30</v>
      </c>
      <c r="X139" s="445">
        <f t="shared" si="88"/>
        <v>0</v>
      </c>
      <c r="Y139" s="451"/>
      <c r="Z139" s="451"/>
      <c r="AA139" s="451">
        <f>+AB139+AC139</f>
        <v>480</v>
      </c>
      <c r="AB139" s="483">
        <v>450</v>
      </c>
      <c r="AC139" s="483">
        <v>30</v>
      </c>
      <c r="AD139" s="451"/>
      <c r="AE139" s="483"/>
      <c r="AF139" s="483"/>
      <c r="AG139" s="451"/>
      <c r="AH139" s="483"/>
      <c r="AI139" s="483"/>
      <c r="AJ139" s="451"/>
      <c r="AK139" s="451"/>
      <c r="AL139" s="15"/>
    </row>
    <row r="140" spans="1:41" ht="75" hidden="1">
      <c r="A140" s="27">
        <f t="shared" si="137"/>
        <v>5</v>
      </c>
      <c r="B140" s="336" t="s">
        <v>287</v>
      </c>
      <c r="C140" s="27" t="s">
        <v>288</v>
      </c>
      <c r="D140" s="27"/>
      <c r="E140" s="8" t="s">
        <v>289</v>
      </c>
      <c r="F140" s="27" t="s">
        <v>53</v>
      </c>
      <c r="G140" s="445">
        <f t="shared" si="85"/>
        <v>630</v>
      </c>
      <c r="H140" s="445">
        <v>600</v>
      </c>
      <c r="I140" s="445">
        <v>30</v>
      </c>
      <c r="J140" s="451">
        <v>0</v>
      </c>
      <c r="K140" s="483">
        <f>+L140+M140</f>
        <v>50</v>
      </c>
      <c r="L140" s="451">
        <f>+H140-R140</f>
        <v>50</v>
      </c>
      <c r="M140" s="451"/>
      <c r="N140" s="483">
        <f>+O140+P140</f>
        <v>10</v>
      </c>
      <c r="O140" s="451"/>
      <c r="P140" s="451">
        <f>+S140-I140</f>
        <v>10</v>
      </c>
      <c r="Q140" s="466">
        <f t="shared" si="133"/>
        <v>590</v>
      </c>
      <c r="R140" s="451">
        <v>550</v>
      </c>
      <c r="S140" s="451">
        <v>40</v>
      </c>
      <c r="T140" s="451"/>
      <c r="U140" s="451">
        <f t="shared" si="134"/>
        <v>590</v>
      </c>
      <c r="V140" s="451">
        <f t="shared" si="135"/>
        <v>550</v>
      </c>
      <c r="W140" s="451">
        <f t="shared" si="135"/>
        <v>40</v>
      </c>
      <c r="X140" s="445">
        <f t="shared" si="88"/>
        <v>0</v>
      </c>
      <c r="Y140" s="451"/>
      <c r="Z140" s="451"/>
      <c r="AA140" s="451">
        <f>+AB140+AC140</f>
        <v>590</v>
      </c>
      <c r="AB140" s="483">
        <v>550</v>
      </c>
      <c r="AC140" s="483">
        <v>40</v>
      </c>
      <c r="AD140" s="451"/>
      <c r="AE140" s="483"/>
      <c r="AF140" s="483"/>
      <c r="AG140" s="451"/>
      <c r="AH140" s="483"/>
      <c r="AI140" s="483"/>
      <c r="AJ140" s="451"/>
      <c r="AK140" s="451"/>
      <c r="AL140" s="15"/>
    </row>
    <row r="141" spans="1:41" ht="75" hidden="1">
      <c r="A141" s="27">
        <f t="shared" si="137"/>
        <v>6</v>
      </c>
      <c r="B141" s="336" t="s">
        <v>290</v>
      </c>
      <c r="C141" s="27" t="s">
        <v>291</v>
      </c>
      <c r="D141" s="27"/>
      <c r="E141" s="8" t="s">
        <v>281</v>
      </c>
      <c r="F141" s="27" t="s">
        <v>53</v>
      </c>
      <c r="G141" s="445">
        <f t="shared" si="85"/>
        <v>420</v>
      </c>
      <c r="H141" s="445">
        <v>400</v>
      </c>
      <c r="I141" s="445">
        <v>20</v>
      </c>
      <c r="J141" s="451">
        <v>0</v>
      </c>
      <c r="K141" s="483">
        <f t="shared" si="132"/>
        <v>0</v>
      </c>
      <c r="L141" s="451"/>
      <c r="M141" s="451"/>
      <c r="N141" s="483"/>
      <c r="O141" s="451"/>
      <c r="P141" s="451"/>
      <c r="Q141" s="466">
        <f t="shared" si="133"/>
        <v>420</v>
      </c>
      <c r="R141" s="451">
        <v>400</v>
      </c>
      <c r="S141" s="451">
        <v>20</v>
      </c>
      <c r="T141" s="451"/>
      <c r="U141" s="451">
        <f t="shared" si="134"/>
        <v>420</v>
      </c>
      <c r="V141" s="451">
        <f t="shared" si="135"/>
        <v>400</v>
      </c>
      <c r="W141" s="451">
        <f t="shared" si="135"/>
        <v>20</v>
      </c>
      <c r="X141" s="445">
        <f t="shared" si="88"/>
        <v>0</v>
      </c>
      <c r="Y141" s="451"/>
      <c r="Z141" s="451"/>
      <c r="AA141" s="451"/>
      <c r="AB141" s="483"/>
      <c r="AC141" s="483"/>
      <c r="AD141" s="451">
        <f>+AE141+AF141</f>
        <v>420</v>
      </c>
      <c r="AE141" s="483">
        <v>400</v>
      </c>
      <c r="AF141" s="483">
        <v>20</v>
      </c>
      <c r="AG141" s="451"/>
      <c r="AH141" s="483"/>
      <c r="AI141" s="483"/>
      <c r="AJ141" s="451"/>
      <c r="AK141" s="451"/>
      <c r="AL141" s="15"/>
    </row>
    <row r="142" spans="1:41" ht="75" hidden="1">
      <c r="A142" s="27">
        <f t="shared" si="137"/>
        <v>7</v>
      </c>
      <c r="B142" s="336" t="s">
        <v>292</v>
      </c>
      <c r="C142" s="27" t="s">
        <v>275</v>
      </c>
      <c r="D142" s="27"/>
      <c r="E142" s="8" t="s">
        <v>104</v>
      </c>
      <c r="F142" s="27" t="s">
        <v>53</v>
      </c>
      <c r="G142" s="445">
        <f t="shared" si="85"/>
        <v>735</v>
      </c>
      <c r="H142" s="445">
        <v>700</v>
      </c>
      <c r="I142" s="445">
        <v>35</v>
      </c>
      <c r="J142" s="451">
        <v>0</v>
      </c>
      <c r="K142" s="483">
        <f t="shared" si="132"/>
        <v>0</v>
      </c>
      <c r="L142" s="451"/>
      <c r="M142" s="451"/>
      <c r="N142" s="483"/>
      <c r="O142" s="451"/>
      <c r="P142" s="451"/>
      <c r="Q142" s="466">
        <f t="shared" si="133"/>
        <v>735</v>
      </c>
      <c r="R142" s="451">
        <v>700</v>
      </c>
      <c r="S142" s="451">
        <v>35</v>
      </c>
      <c r="T142" s="451"/>
      <c r="U142" s="451">
        <f t="shared" si="134"/>
        <v>735</v>
      </c>
      <c r="V142" s="451">
        <f t="shared" si="135"/>
        <v>700</v>
      </c>
      <c r="W142" s="451">
        <f t="shared" si="135"/>
        <v>35</v>
      </c>
      <c r="X142" s="445">
        <f t="shared" si="88"/>
        <v>0</v>
      </c>
      <c r="Y142" s="451"/>
      <c r="Z142" s="451"/>
      <c r="AA142" s="451">
        <f>+AB142+AC142</f>
        <v>735</v>
      </c>
      <c r="AB142" s="483">
        <v>700</v>
      </c>
      <c r="AC142" s="483">
        <v>35</v>
      </c>
      <c r="AD142" s="451"/>
      <c r="AE142" s="483"/>
      <c r="AF142" s="483"/>
      <c r="AG142" s="451"/>
      <c r="AH142" s="483"/>
      <c r="AI142" s="483"/>
      <c r="AJ142" s="451"/>
      <c r="AK142" s="451"/>
      <c r="AL142" s="15"/>
    </row>
    <row r="143" spans="1:41" ht="75" hidden="1">
      <c r="A143" s="27">
        <f t="shared" si="137"/>
        <v>8</v>
      </c>
      <c r="B143" s="336" t="s">
        <v>293</v>
      </c>
      <c r="C143" s="27" t="s">
        <v>288</v>
      </c>
      <c r="D143" s="27"/>
      <c r="E143" s="8" t="s">
        <v>278</v>
      </c>
      <c r="F143" s="27" t="s">
        <v>53</v>
      </c>
      <c r="G143" s="445">
        <f t="shared" si="85"/>
        <v>1260</v>
      </c>
      <c r="H143" s="445">
        <v>1200</v>
      </c>
      <c r="I143" s="445">
        <v>60</v>
      </c>
      <c r="J143" s="451">
        <v>0</v>
      </c>
      <c r="K143" s="483">
        <f>+L143+M143</f>
        <v>615.12</v>
      </c>
      <c r="L143" s="451">
        <f>+H143-R143</f>
        <v>575.62</v>
      </c>
      <c r="M143" s="451">
        <f>+I143-S143</f>
        <v>39.5</v>
      </c>
      <c r="N143" s="483"/>
      <c r="O143" s="451"/>
      <c r="P143" s="451"/>
      <c r="Q143" s="466">
        <f t="shared" si="133"/>
        <v>644.88</v>
      </c>
      <c r="R143" s="451">
        <v>624.38</v>
      </c>
      <c r="S143" s="451">
        <v>20.5</v>
      </c>
      <c r="T143" s="451"/>
      <c r="U143" s="451">
        <f t="shared" si="134"/>
        <v>644.88</v>
      </c>
      <c r="V143" s="451">
        <f t="shared" si="135"/>
        <v>624.38</v>
      </c>
      <c r="W143" s="451">
        <f t="shared" si="135"/>
        <v>20.5</v>
      </c>
      <c r="X143" s="445">
        <f t="shared" si="88"/>
        <v>0</v>
      </c>
      <c r="Y143" s="451"/>
      <c r="Z143" s="451"/>
      <c r="AA143" s="451">
        <f>+AB143+AC143</f>
        <v>644.88</v>
      </c>
      <c r="AB143" s="483">
        <v>624.38</v>
      </c>
      <c r="AC143" s="483">
        <v>20.5</v>
      </c>
      <c r="AD143" s="451"/>
      <c r="AE143" s="483"/>
      <c r="AF143" s="483"/>
      <c r="AG143" s="451"/>
      <c r="AH143" s="483"/>
      <c r="AI143" s="483"/>
      <c r="AJ143" s="451"/>
      <c r="AK143" s="451"/>
      <c r="AL143" s="15"/>
    </row>
    <row r="144" spans="1:41" ht="75" hidden="1">
      <c r="A144" s="27">
        <f t="shared" si="137"/>
        <v>9</v>
      </c>
      <c r="B144" s="336" t="s">
        <v>295</v>
      </c>
      <c r="C144" s="27" t="s">
        <v>275</v>
      </c>
      <c r="D144" s="27"/>
      <c r="E144" s="8" t="s">
        <v>104</v>
      </c>
      <c r="F144" s="27" t="s">
        <v>54</v>
      </c>
      <c r="G144" s="445">
        <f t="shared" si="85"/>
        <v>735</v>
      </c>
      <c r="H144" s="445">
        <v>700</v>
      </c>
      <c r="I144" s="445">
        <v>35</v>
      </c>
      <c r="J144" s="451">
        <v>0</v>
      </c>
      <c r="K144" s="483"/>
      <c r="L144" s="451"/>
      <c r="M144" s="451"/>
      <c r="N144" s="483">
        <f>+O144+P144</f>
        <v>226.5</v>
      </c>
      <c r="O144" s="451">
        <f>+R144-H144</f>
        <v>200</v>
      </c>
      <c r="P144" s="451">
        <f>+S144-I144</f>
        <v>26.5</v>
      </c>
      <c r="Q144" s="466">
        <f t="shared" si="133"/>
        <v>961.5</v>
      </c>
      <c r="R144" s="451">
        <v>900</v>
      </c>
      <c r="S144" s="451">
        <v>61.5</v>
      </c>
      <c r="T144" s="451"/>
      <c r="U144" s="451">
        <f t="shared" si="134"/>
        <v>961.5</v>
      </c>
      <c r="V144" s="451">
        <f t="shared" si="135"/>
        <v>900</v>
      </c>
      <c r="W144" s="451">
        <f t="shared" si="135"/>
        <v>61.5</v>
      </c>
      <c r="X144" s="445">
        <f t="shared" si="88"/>
        <v>0</v>
      </c>
      <c r="Y144" s="451"/>
      <c r="Z144" s="451"/>
      <c r="AA144" s="451"/>
      <c r="AB144" s="483"/>
      <c r="AC144" s="483"/>
      <c r="AD144" s="451">
        <f>+AE144+AF144</f>
        <v>961.5</v>
      </c>
      <c r="AE144" s="483">
        <v>900</v>
      </c>
      <c r="AF144" s="483">
        <v>61.5</v>
      </c>
      <c r="AG144" s="451"/>
      <c r="AH144" s="483"/>
      <c r="AI144" s="483"/>
      <c r="AJ144" s="451"/>
      <c r="AK144" s="451"/>
      <c r="AL144" s="15"/>
    </row>
    <row r="145" spans="1:41" ht="75" hidden="1">
      <c r="A145" s="27">
        <f t="shared" si="137"/>
        <v>10</v>
      </c>
      <c r="B145" s="336" t="s">
        <v>297</v>
      </c>
      <c r="C145" s="27" t="s">
        <v>298</v>
      </c>
      <c r="D145" s="27"/>
      <c r="E145" s="8" t="s">
        <v>128</v>
      </c>
      <c r="F145" s="27" t="s">
        <v>54</v>
      </c>
      <c r="G145" s="445">
        <f t="shared" si="85"/>
        <v>1050</v>
      </c>
      <c r="H145" s="445">
        <v>1000</v>
      </c>
      <c r="I145" s="445">
        <v>50</v>
      </c>
      <c r="J145" s="451">
        <v>0</v>
      </c>
      <c r="K145" s="483">
        <f>+L145+M145</f>
        <v>368.4</v>
      </c>
      <c r="L145" s="451">
        <f>+H145-R145</f>
        <v>353.4</v>
      </c>
      <c r="M145" s="451">
        <f>+I145-S145</f>
        <v>15</v>
      </c>
      <c r="N145" s="483"/>
      <c r="O145" s="451"/>
      <c r="P145" s="451"/>
      <c r="Q145" s="466">
        <f t="shared" si="133"/>
        <v>681.6</v>
      </c>
      <c r="R145" s="451">
        <v>646.6</v>
      </c>
      <c r="S145" s="451">
        <v>35</v>
      </c>
      <c r="T145" s="451"/>
      <c r="U145" s="451">
        <f t="shared" si="134"/>
        <v>681.6</v>
      </c>
      <c r="V145" s="451">
        <f t="shared" si="135"/>
        <v>646.6</v>
      </c>
      <c r="W145" s="451">
        <f t="shared" si="135"/>
        <v>35</v>
      </c>
      <c r="X145" s="445">
        <f t="shared" si="88"/>
        <v>0</v>
      </c>
      <c r="Y145" s="451"/>
      <c r="Z145" s="451"/>
      <c r="AA145" s="451"/>
      <c r="AB145" s="483"/>
      <c r="AC145" s="483"/>
      <c r="AD145" s="451">
        <f>+AE145+AF145</f>
        <v>681.6</v>
      </c>
      <c r="AE145" s="483">
        <v>646.6</v>
      </c>
      <c r="AF145" s="483">
        <v>35</v>
      </c>
      <c r="AG145" s="451"/>
      <c r="AH145" s="483"/>
      <c r="AI145" s="483"/>
      <c r="AJ145" s="451"/>
      <c r="AK145" s="451"/>
      <c r="AL145" s="15"/>
    </row>
    <row r="146" spans="1:41" ht="75" hidden="1">
      <c r="A146" s="27">
        <f t="shared" si="137"/>
        <v>11</v>
      </c>
      <c r="B146" s="336" t="s">
        <v>301</v>
      </c>
      <c r="C146" s="27" t="s">
        <v>300</v>
      </c>
      <c r="D146" s="27"/>
      <c r="E146" s="8" t="s">
        <v>281</v>
      </c>
      <c r="F146" s="27" t="s">
        <v>54</v>
      </c>
      <c r="G146" s="445">
        <f t="shared" si="85"/>
        <v>419.43</v>
      </c>
      <c r="H146" s="445">
        <v>399.43</v>
      </c>
      <c r="I146" s="445">
        <v>20</v>
      </c>
      <c r="J146" s="451">
        <v>0</v>
      </c>
      <c r="K146" s="483"/>
      <c r="L146" s="451"/>
      <c r="M146" s="451"/>
      <c r="N146" s="483">
        <f>+O146+P146</f>
        <v>0.56999999999999318</v>
      </c>
      <c r="O146" s="451">
        <f>+R146-H146</f>
        <v>0.56999999999999318</v>
      </c>
      <c r="P146" s="451"/>
      <c r="Q146" s="466">
        <f t="shared" si="133"/>
        <v>420</v>
      </c>
      <c r="R146" s="451">
        <v>400</v>
      </c>
      <c r="S146" s="451">
        <v>20</v>
      </c>
      <c r="T146" s="451"/>
      <c r="U146" s="451">
        <f t="shared" si="134"/>
        <v>420</v>
      </c>
      <c r="V146" s="451">
        <f t="shared" si="135"/>
        <v>400</v>
      </c>
      <c r="W146" s="451">
        <f t="shared" si="135"/>
        <v>20</v>
      </c>
      <c r="X146" s="445">
        <f t="shared" si="88"/>
        <v>0</v>
      </c>
      <c r="Y146" s="451"/>
      <c r="Z146" s="451"/>
      <c r="AA146" s="451"/>
      <c r="AB146" s="483"/>
      <c r="AC146" s="483"/>
      <c r="AD146" s="451">
        <f>+AE146+AF146</f>
        <v>420</v>
      </c>
      <c r="AE146" s="483">
        <v>400</v>
      </c>
      <c r="AF146" s="483">
        <v>20</v>
      </c>
      <c r="AG146" s="451"/>
      <c r="AH146" s="483"/>
      <c r="AI146" s="483"/>
      <c r="AJ146" s="451"/>
      <c r="AK146" s="451"/>
      <c r="AL146" s="15"/>
    </row>
    <row r="147" spans="1:41" ht="75" hidden="1">
      <c r="A147" s="27">
        <f t="shared" si="137"/>
        <v>12</v>
      </c>
      <c r="B147" s="336" t="s">
        <v>294</v>
      </c>
      <c r="C147" s="27" t="s">
        <v>277</v>
      </c>
      <c r="D147" s="27"/>
      <c r="E147" s="8" t="s">
        <v>281</v>
      </c>
      <c r="F147" s="27" t="s">
        <v>55</v>
      </c>
      <c r="G147" s="445">
        <f>H147+I147</f>
        <v>420</v>
      </c>
      <c r="H147" s="445">
        <v>400</v>
      </c>
      <c r="I147" s="445">
        <v>20</v>
      </c>
      <c r="J147" s="451">
        <v>0</v>
      </c>
      <c r="K147" s="483">
        <f t="shared" si="132"/>
        <v>0</v>
      </c>
      <c r="L147" s="451"/>
      <c r="M147" s="451"/>
      <c r="N147" s="483"/>
      <c r="O147" s="451"/>
      <c r="P147" s="451"/>
      <c r="Q147" s="466">
        <f t="shared" si="133"/>
        <v>420</v>
      </c>
      <c r="R147" s="451">
        <v>400</v>
      </c>
      <c r="S147" s="451">
        <v>20</v>
      </c>
      <c r="T147" s="451"/>
      <c r="U147" s="451">
        <f>+V147+W147</f>
        <v>0</v>
      </c>
      <c r="V147" s="451">
        <f t="shared" si="135"/>
        <v>0</v>
      </c>
      <c r="W147" s="451">
        <f t="shared" si="135"/>
        <v>0</v>
      </c>
      <c r="X147" s="445">
        <f>Y147+Z147</f>
        <v>0</v>
      </c>
      <c r="Y147" s="451"/>
      <c r="Z147" s="451"/>
      <c r="AA147" s="451"/>
      <c r="AB147" s="483"/>
      <c r="AC147" s="483"/>
      <c r="AD147" s="451"/>
      <c r="AE147" s="483"/>
      <c r="AF147" s="483"/>
      <c r="AG147" s="445">
        <f t="shared" ref="AG147:AG149" si="138">AH147+AI147</f>
        <v>420</v>
      </c>
      <c r="AH147" s="445">
        <v>400</v>
      </c>
      <c r="AI147" s="445">
        <v>20</v>
      </c>
      <c r="AJ147" s="451"/>
      <c r="AK147" s="451"/>
      <c r="AL147" s="15"/>
    </row>
    <row r="148" spans="1:41" ht="75" hidden="1">
      <c r="A148" s="27">
        <f t="shared" si="137"/>
        <v>13</v>
      </c>
      <c r="B148" s="336" t="s">
        <v>296</v>
      </c>
      <c r="C148" s="27" t="s">
        <v>288</v>
      </c>
      <c r="D148" s="27"/>
      <c r="E148" s="8" t="s">
        <v>128</v>
      </c>
      <c r="F148" s="27" t="s">
        <v>55</v>
      </c>
      <c r="G148" s="445">
        <f>H148+I148</f>
        <v>1050</v>
      </c>
      <c r="H148" s="445">
        <v>1000</v>
      </c>
      <c r="I148" s="445">
        <v>50</v>
      </c>
      <c r="J148" s="451">
        <v>0</v>
      </c>
      <c r="K148" s="483">
        <f t="shared" si="132"/>
        <v>0</v>
      </c>
      <c r="L148" s="451"/>
      <c r="M148" s="451"/>
      <c r="N148" s="483"/>
      <c r="O148" s="451"/>
      <c r="P148" s="451"/>
      <c r="Q148" s="466">
        <f t="shared" si="133"/>
        <v>1050</v>
      </c>
      <c r="R148" s="451">
        <v>1000</v>
      </c>
      <c r="S148" s="451">
        <v>50</v>
      </c>
      <c r="T148" s="451"/>
      <c r="U148" s="451">
        <f>+V148+W148</f>
        <v>0</v>
      </c>
      <c r="V148" s="451">
        <f t="shared" si="135"/>
        <v>0</v>
      </c>
      <c r="W148" s="451">
        <f t="shared" si="135"/>
        <v>0</v>
      </c>
      <c r="X148" s="445">
        <f>Y148+Z148</f>
        <v>0</v>
      </c>
      <c r="Y148" s="451"/>
      <c r="Z148" s="451"/>
      <c r="AA148" s="451"/>
      <c r="AB148" s="483"/>
      <c r="AC148" s="483"/>
      <c r="AD148" s="451"/>
      <c r="AE148" s="483"/>
      <c r="AF148" s="483"/>
      <c r="AG148" s="445">
        <f t="shared" si="138"/>
        <v>1050</v>
      </c>
      <c r="AH148" s="445">
        <v>1000</v>
      </c>
      <c r="AI148" s="445">
        <v>50</v>
      </c>
      <c r="AJ148" s="451"/>
      <c r="AK148" s="451"/>
      <c r="AL148" s="15"/>
    </row>
    <row r="149" spans="1:41" ht="75" hidden="1">
      <c r="A149" s="27">
        <f t="shared" si="137"/>
        <v>14</v>
      </c>
      <c r="B149" s="336" t="s">
        <v>299</v>
      </c>
      <c r="C149" s="27" t="s">
        <v>300</v>
      </c>
      <c r="D149" s="27"/>
      <c r="E149" s="8" t="s">
        <v>128</v>
      </c>
      <c r="F149" s="27" t="s">
        <v>55</v>
      </c>
      <c r="G149" s="445">
        <f>H149+I149</f>
        <v>1050</v>
      </c>
      <c r="H149" s="445">
        <v>1000</v>
      </c>
      <c r="I149" s="445">
        <v>50</v>
      </c>
      <c r="J149" s="451">
        <v>0</v>
      </c>
      <c r="K149" s="483">
        <f t="shared" si="132"/>
        <v>0</v>
      </c>
      <c r="L149" s="451"/>
      <c r="M149" s="451"/>
      <c r="N149" s="483"/>
      <c r="O149" s="451"/>
      <c r="P149" s="451"/>
      <c r="Q149" s="466">
        <f t="shared" si="133"/>
        <v>1050</v>
      </c>
      <c r="R149" s="451">
        <v>1000</v>
      </c>
      <c r="S149" s="451">
        <v>50</v>
      </c>
      <c r="T149" s="451"/>
      <c r="U149" s="451">
        <f>+V149+W149</f>
        <v>0</v>
      </c>
      <c r="V149" s="451">
        <f t="shared" si="135"/>
        <v>0</v>
      </c>
      <c r="W149" s="451">
        <f t="shared" si="135"/>
        <v>0</v>
      </c>
      <c r="X149" s="445">
        <f>Y149+Z149</f>
        <v>0</v>
      </c>
      <c r="Y149" s="451"/>
      <c r="Z149" s="451"/>
      <c r="AA149" s="451"/>
      <c r="AB149" s="483"/>
      <c r="AC149" s="483"/>
      <c r="AD149" s="451"/>
      <c r="AE149" s="483"/>
      <c r="AF149" s="483"/>
      <c r="AG149" s="445">
        <f t="shared" si="138"/>
        <v>1050</v>
      </c>
      <c r="AH149" s="445">
        <v>1000</v>
      </c>
      <c r="AI149" s="445">
        <v>50</v>
      </c>
      <c r="AJ149" s="451"/>
      <c r="AK149" s="451"/>
      <c r="AL149" s="15"/>
    </row>
    <row r="150" spans="1:41" ht="45" hidden="1">
      <c r="A150" s="27">
        <f t="shared" si="137"/>
        <v>15</v>
      </c>
      <c r="B150" s="336" t="s">
        <v>1135</v>
      </c>
      <c r="C150" s="27" t="s">
        <v>288</v>
      </c>
      <c r="D150" s="27"/>
      <c r="E150" s="8"/>
      <c r="F150" s="27" t="s">
        <v>55</v>
      </c>
      <c r="G150" s="445"/>
      <c r="H150" s="445"/>
      <c r="I150" s="445"/>
      <c r="J150" s="451"/>
      <c r="K150" s="483"/>
      <c r="L150" s="451"/>
      <c r="M150" s="451"/>
      <c r="N150" s="466">
        <f t="shared" ref="N150" si="139">+O150+P150</f>
        <v>841.45</v>
      </c>
      <c r="O150" s="451">
        <v>828.45</v>
      </c>
      <c r="P150" s="451">
        <v>13</v>
      </c>
      <c r="Q150" s="466">
        <f t="shared" si="133"/>
        <v>841.45</v>
      </c>
      <c r="R150" s="451">
        <v>828.45</v>
      </c>
      <c r="S150" s="451">
        <v>13</v>
      </c>
      <c r="T150" s="533" t="s">
        <v>1166</v>
      </c>
      <c r="U150" s="451"/>
      <c r="V150" s="451"/>
      <c r="W150" s="451"/>
      <c r="X150" s="445"/>
      <c r="Y150" s="451"/>
      <c r="Z150" s="451"/>
      <c r="AA150" s="451"/>
      <c r="AB150" s="483"/>
      <c r="AC150" s="483"/>
      <c r="AD150" s="451"/>
      <c r="AE150" s="483"/>
      <c r="AF150" s="483"/>
      <c r="AG150" s="451">
        <f>+AH150+AI150</f>
        <v>841.45</v>
      </c>
      <c r="AH150" s="483">
        <v>828.45</v>
      </c>
      <c r="AI150" s="483">
        <v>13</v>
      </c>
      <c r="AJ150" s="451"/>
      <c r="AK150" s="451"/>
      <c r="AL150" s="15"/>
    </row>
    <row r="151" spans="1:41" s="14" customFormat="1" ht="51.75" customHeight="1">
      <c r="A151" s="4" t="s">
        <v>996</v>
      </c>
      <c r="B151" s="507" t="s">
        <v>303</v>
      </c>
      <c r="C151" s="418"/>
      <c r="D151" s="418"/>
      <c r="E151" s="417">
        <v>0</v>
      </c>
      <c r="F151" s="417"/>
      <c r="G151" s="446">
        <f>SUM(G152:G161)</f>
        <v>11092.08</v>
      </c>
      <c r="H151" s="446">
        <f t="shared" ref="H151:T151" si="140">SUM(H152:H161)</f>
        <v>10563.98</v>
      </c>
      <c r="I151" s="446">
        <f t="shared" si="140"/>
        <v>528.1</v>
      </c>
      <c r="J151" s="446">
        <f t="shared" si="140"/>
        <v>0</v>
      </c>
      <c r="K151" s="446">
        <f t="shared" si="140"/>
        <v>683.35670000000016</v>
      </c>
      <c r="L151" s="446">
        <f t="shared" si="140"/>
        <v>669.74670000000015</v>
      </c>
      <c r="M151" s="446">
        <f t="shared" si="140"/>
        <v>13.61</v>
      </c>
      <c r="N151" s="446">
        <f t="shared" si="140"/>
        <v>683.35670000000005</v>
      </c>
      <c r="O151" s="446">
        <f t="shared" si="140"/>
        <v>669.74670000000003</v>
      </c>
      <c r="P151" s="446">
        <f t="shared" si="140"/>
        <v>13.610000000000007</v>
      </c>
      <c r="Q151" s="446">
        <f t="shared" si="140"/>
        <v>11092.08</v>
      </c>
      <c r="R151" s="446">
        <f t="shared" si="140"/>
        <v>10563.98</v>
      </c>
      <c r="S151" s="446">
        <f t="shared" si="140"/>
        <v>528.1</v>
      </c>
      <c r="T151" s="446">
        <f t="shared" si="140"/>
        <v>0</v>
      </c>
      <c r="U151" s="446">
        <f t="shared" ref="U151:AK151" si="141">SUM(U152:U160)</f>
        <v>7387.6432999999997</v>
      </c>
      <c r="V151" s="446">
        <f t="shared" si="141"/>
        <v>7005.2533000000003</v>
      </c>
      <c r="W151" s="446">
        <f t="shared" si="141"/>
        <v>382.39</v>
      </c>
      <c r="X151" s="446">
        <f t="shared" si="141"/>
        <v>1446.05</v>
      </c>
      <c r="Y151" s="446">
        <f t="shared" si="141"/>
        <v>1351</v>
      </c>
      <c r="Z151" s="446">
        <f t="shared" si="141"/>
        <v>95.05</v>
      </c>
      <c r="AA151" s="446">
        <f t="shared" si="141"/>
        <v>3218.5933</v>
      </c>
      <c r="AB151" s="446">
        <f t="shared" si="141"/>
        <v>3080.9533000000001</v>
      </c>
      <c r="AC151" s="446">
        <f t="shared" si="141"/>
        <v>137.63999999999999</v>
      </c>
      <c r="AD151" s="446">
        <f t="shared" si="141"/>
        <v>2723</v>
      </c>
      <c r="AE151" s="446">
        <f t="shared" si="141"/>
        <v>2573.3000000000002</v>
      </c>
      <c r="AF151" s="446">
        <f t="shared" si="141"/>
        <v>149.69999999999999</v>
      </c>
      <c r="AG151" s="446">
        <f>SUM(AG152:AG161)</f>
        <v>3704.4367000000002</v>
      </c>
      <c r="AH151" s="446">
        <f t="shared" ref="AH151:AI151" si="142">SUM(AH152:AH161)</f>
        <v>3558.7267000000002</v>
      </c>
      <c r="AI151" s="446">
        <f t="shared" si="142"/>
        <v>145.70999999999998</v>
      </c>
      <c r="AJ151" s="446"/>
      <c r="AK151" s="446">
        <f t="shared" si="141"/>
        <v>0</v>
      </c>
      <c r="AL151" s="16"/>
      <c r="AM151" s="368">
        <f>+'NĂM 2022'!K57+'NĂM 2023'!N65+'NĂM 2024'!J60+'NĂM 2025'!J54</f>
        <v>11092.08</v>
      </c>
      <c r="AN151" s="368">
        <f>+'NĂM 2022'!L57+'NĂM 2023'!O65+'NĂM 2024'!K60+'NĂM 2025'!K54</f>
        <v>10563.98</v>
      </c>
      <c r="AO151" s="368">
        <f>+'NĂM 2022'!M57+'NĂM 2023'!P65+'NĂM 2024'!L60+'NĂM 2025'!L54</f>
        <v>528.09999999999991</v>
      </c>
    </row>
    <row r="152" spans="1:41" ht="51.75" hidden="1" customHeight="1">
      <c r="A152" s="8">
        <v>1</v>
      </c>
      <c r="B152" s="328" t="s">
        <v>304</v>
      </c>
      <c r="C152" s="8" t="s">
        <v>303</v>
      </c>
      <c r="D152" s="8"/>
      <c r="E152" s="8" t="s">
        <v>305</v>
      </c>
      <c r="F152" s="27" t="s">
        <v>52</v>
      </c>
      <c r="G152" s="445">
        <f t="shared" si="85"/>
        <v>1996.05</v>
      </c>
      <c r="H152" s="445">
        <v>1901</v>
      </c>
      <c r="I152" s="445">
        <v>95.05</v>
      </c>
      <c r="J152" s="451">
        <v>0</v>
      </c>
      <c r="K152" s="483">
        <f>+L152+M152</f>
        <v>17.996700000000146</v>
      </c>
      <c r="L152" s="451">
        <f>+H152-R152</f>
        <v>17.996700000000146</v>
      </c>
      <c r="M152" s="451">
        <f>+I152-S152</f>
        <v>0</v>
      </c>
      <c r="N152" s="483"/>
      <c r="O152" s="451"/>
      <c r="P152" s="451"/>
      <c r="Q152" s="466">
        <v>1978.0532999999998</v>
      </c>
      <c r="R152" s="451">
        <v>1883.0032999999999</v>
      </c>
      <c r="S152" s="451">
        <v>95.05</v>
      </c>
      <c r="T152" s="451"/>
      <c r="U152" s="451">
        <f>+V152+W152</f>
        <v>1978.0532999999998</v>
      </c>
      <c r="V152" s="451">
        <f>+Y152+AB152+AE152</f>
        <v>1883.0032999999999</v>
      </c>
      <c r="W152" s="451">
        <f>+Z152+AC152+AF152</f>
        <v>95.05</v>
      </c>
      <c r="X152" s="445">
        <f t="shared" si="88"/>
        <v>1446.05</v>
      </c>
      <c r="Y152" s="445">
        <v>1351</v>
      </c>
      <c r="Z152" s="445">
        <v>95.05</v>
      </c>
      <c r="AA152" s="445">
        <f>+AB152</f>
        <v>532.00329999999997</v>
      </c>
      <c r="AB152" s="481">
        <f>550-17.9967</f>
        <v>532.00329999999997</v>
      </c>
      <c r="AC152" s="481"/>
      <c r="AD152" s="445"/>
      <c r="AE152" s="481"/>
      <c r="AF152" s="481"/>
      <c r="AG152" s="445"/>
      <c r="AH152" s="481"/>
      <c r="AI152" s="481"/>
      <c r="AJ152" s="445"/>
      <c r="AK152" s="451"/>
      <c r="AL152" s="15"/>
      <c r="AM152" s="506">
        <f>+G151-U151</f>
        <v>3704.4367000000002</v>
      </c>
      <c r="AN152" s="506">
        <f>+H151-V151</f>
        <v>3558.7266999999993</v>
      </c>
      <c r="AO152" s="506">
        <f>+I151-W151</f>
        <v>145.71000000000004</v>
      </c>
    </row>
    <row r="153" spans="1:41" ht="51.75" hidden="1" customHeight="1">
      <c r="A153" s="8">
        <f>+A152+1</f>
        <v>2</v>
      </c>
      <c r="B153" s="328" t="s">
        <v>306</v>
      </c>
      <c r="C153" s="8" t="s">
        <v>307</v>
      </c>
      <c r="D153" s="8"/>
      <c r="E153" s="8" t="s">
        <v>308</v>
      </c>
      <c r="F153" s="8" t="s">
        <v>53</v>
      </c>
      <c r="G153" s="445">
        <f t="shared" si="85"/>
        <v>2191.25</v>
      </c>
      <c r="H153" s="445">
        <v>2087</v>
      </c>
      <c r="I153" s="445">
        <v>104.25</v>
      </c>
      <c r="J153" s="451">
        <v>0</v>
      </c>
      <c r="K153" s="483">
        <f t="shared" ref="K153:K158" si="143">+L153+M153</f>
        <v>304.65999999999997</v>
      </c>
      <c r="L153" s="451">
        <f t="shared" ref="L153:M158" si="144">+H153-R153</f>
        <v>298.04999999999995</v>
      </c>
      <c r="M153" s="451">
        <f t="shared" si="144"/>
        <v>6.6099999999999994</v>
      </c>
      <c r="N153" s="483"/>
      <c r="O153" s="451"/>
      <c r="P153" s="451"/>
      <c r="Q153" s="466">
        <v>1886.5900000000001</v>
      </c>
      <c r="R153" s="451">
        <v>1788.95</v>
      </c>
      <c r="S153" s="451">
        <v>97.64</v>
      </c>
      <c r="T153" s="451"/>
      <c r="U153" s="451">
        <f t="shared" ref="U153:U160" si="145">+V153+W153</f>
        <v>1886.5900000000001</v>
      </c>
      <c r="V153" s="451">
        <f t="shared" ref="V153:W160" si="146">+Y153+AB153+AE153</f>
        <v>1788.95</v>
      </c>
      <c r="W153" s="451">
        <f t="shared" si="146"/>
        <v>97.64</v>
      </c>
      <c r="X153" s="445">
        <f t="shared" si="88"/>
        <v>0</v>
      </c>
      <c r="Y153" s="451"/>
      <c r="Z153" s="451"/>
      <c r="AA153" s="451">
        <f>+AB153+AC153</f>
        <v>1886.5900000000001</v>
      </c>
      <c r="AB153" s="483">
        <v>1788.95</v>
      </c>
      <c r="AC153" s="483">
        <v>97.64</v>
      </c>
      <c r="AD153" s="451"/>
      <c r="AE153" s="483"/>
      <c r="AF153" s="483"/>
      <c r="AG153" s="451"/>
      <c r="AH153" s="483"/>
      <c r="AI153" s="483"/>
      <c r="AJ153" s="451"/>
      <c r="AK153" s="451"/>
      <c r="AL153" s="15"/>
      <c r="AM153" s="513">
        <f>+AM152-AG151</f>
        <v>0</v>
      </c>
      <c r="AN153" s="513">
        <f t="shared" ref="AN153:AO153" si="147">+AN152-AH151</f>
        <v>0</v>
      </c>
      <c r="AO153" s="513">
        <f t="shared" si="147"/>
        <v>0</v>
      </c>
    </row>
    <row r="154" spans="1:41" ht="51.75" hidden="1" customHeight="1">
      <c r="A154" s="8">
        <f t="shared" ref="A154:A161" si="148">+A153+1</f>
        <v>3</v>
      </c>
      <c r="B154" s="328" t="s">
        <v>309</v>
      </c>
      <c r="C154" s="8" t="s">
        <v>310</v>
      </c>
      <c r="D154" s="8"/>
      <c r="E154" s="8" t="s">
        <v>311</v>
      </c>
      <c r="F154" s="8" t="s">
        <v>53</v>
      </c>
      <c r="G154" s="445">
        <f t="shared" si="85"/>
        <v>420</v>
      </c>
      <c r="H154" s="445">
        <v>400</v>
      </c>
      <c r="I154" s="445">
        <v>20</v>
      </c>
      <c r="J154" s="451">
        <v>0</v>
      </c>
      <c r="K154" s="483">
        <f t="shared" si="143"/>
        <v>20</v>
      </c>
      <c r="L154" s="451">
        <f t="shared" si="144"/>
        <v>20</v>
      </c>
      <c r="M154" s="451">
        <f t="shared" si="144"/>
        <v>0</v>
      </c>
      <c r="N154" s="483"/>
      <c r="O154" s="451"/>
      <c r="P154" s="451"/>
      <c r="Q154" s="466">
        <v>400</v>
      </c>
      <c r="R154" s="451">
        <v>380</v>
      </c>
      <c r="S154" s="451">
        <v>20</v>
      </c>
      <c r="T154" s="451"/>
      <c r="U154" s="451">
        <f t="shared" si="145"/>
        <v>400</v>
      </c>
      <c r="V154" s="451">
        <f t="shared" si="146"/>
        <v>380</v>
      </c>
      <c r="W154" s="451">
        <f t="shared" si="146"/>
        <v>20</v>
      </c>
      <c r="X154" s="445">
        <f t="shared" si="88"/>
        <v>0</v>
      </c>
      <c r="Y154" s="451"/>
      <c r="Z154" s="451"/>
      <c r="AA154" s="451">
        <f t="shared" ref="AA154:AA155" si="149">+AB154+AC154</f>
        <v>400</v>
      </c>
      <c r="AB154" s="483">
        <v>380</v>
      </c>
      <c r="AC154" s="483">
        <v>20</v>
      </c>
      <c r="AD154" s="451"/>
      <c r="AE154" s="483"/>
      <c r="AF154" s="483"/>
      <c r="AG154" s="451"/>
      <c r="AH154" s="483"/>
      <c r="AI154" s="483"/>
      <c r="AJ154" s="451"/>
      <c r="AK154" s="451"/>
      <c r="AL154" s="15"/>
    </row>
    <row r="155" spans="1:41" ht="51.75" hidden="1" customHeight="1">
      <c r="A155" s="8">
        <f t="shared" si="148"/>
        <v>4</v>
      </c>
      <c r="B155" s="328" t="s">
        <v>312</v>
      </c>
      <c r="C155" s="8" t="s">
        <v>313</v>
      </c>
      <c r="D155" s="8"/>
      <c r="E155" s="8" t="s">
        <v>94</v>
      </c>
      <c r="F155" s="8" t="s">
        <v>53</v>
      </c>
      <c r="G155" s="445">
        <f t="shared" si="85"/>
        <v>420</v>
      </c>
      <c r="H155" s="445">
        <v>400</v>
      </c>
      <c r="I155" s="445">
        <v>20</v>
      </c>
      <c r="J155" s="451">
        <v>0</v>
      </c>
      <c r="K155" s="483">
        <f t="shared" si="143"/>
        <v>20</v>
      </c>
      <c r="L155" s="451">
        <f t="shared" si="144"/>
        <v>20</v>
      </c>
      <c r="M155" s="451">
        <f t="shared" si="144"/>
        <v>0</v>
      </c>
      <c r="N155" s="483"/>
      <c r="O155" s="451"/>
      <c r="P155" s="451"/>
      <c r="Q155" s="466">
        <v>400</v>
      </c>
      <c r="R155" s="451">
        <v>380</v>
      </c>
      <c r="S155" s="451">
        <v>20</v>
      </c>
      <c r="T155" s="451"/>
      <c r="U155" s="451">
        <f t="shared" si="145"/>
        <v>400</v>
      </c>
      <c r="V155" s="451">
        <f t="shared" si="146"/>
        <v>380</v>
      </c>
      <c r="W155" s="451">
        <f t="shared" si="146"/>
        <v>20</v>
      </c>
      <c r="X155" s="445">
        <f t="shared" si="88"/>
        <v>0</v>
      </c>
      <c r="Y155" s="451"/>
      <c r="Z155" s="451"/>
      <c r="AA155" s="451">
        <f t="shared" si="149"/>
        <v>400</v>
      </c>
      <c r="AB155" s="483">
        <v>380</v>
      </c>
      <c r="AC155" s="483">
        <v>20</v>
      </c>
      <c r="AD155" s="451"/>
      <c r="AE155" s="483"/>
      <c r="AF155" s="483"/>
      <c r="AG155" s="451"/>
      <c r="AH155" s="483"/>
      <c r="AI155" s="483"/>
      <c r="AJ155" s="451"/>
      <c r="AK155" s="451"/>
      <c r="AL155" s="15"/>
    </row>
    <row r="156" spans="1:41" ht="51.75" hidden="1" customHeight="1">
      <c r="A156" s="8">
        <f t="shared" si="148"/>
        <v>5</v>
      </c>
      <c r="B156" s="328" t="s">
        <v>1130</v>
      </c>
      <c r="C156" s="8" t="s">
        <v>1131</v>
      </c>
      <c r="D156" s="8"/>
      <c r="E156" s="8" t="s">
        <v>315</v>
      </c>
      <c r="F156" s="27" t="s">
        <v>54</v>
      </c>
      <c r="G156" s="445">
        <f t="shared" si="85"/>
        <v>2191.35</v>
      </c>
      <c r="H156" s="445">
        <v>2087</v>
      </c>
      <c r="I156" s="445">
        <v>104.35</v>
      </c>
      <c r="J156" s="451"/>
      <c r="K156" s="483">
        <f t="shared" si="143"/>
        <v>80.700000000000045</v>
      </c>
      <c r="L156" s="451">
        <f t="shared" si="144"/>
        <v>80.700000000000045</v>
      </c>
      <c r="M156" s="451"/>
      <c r="N156" s="483">
        <f>+O156+P156</f>
        <v>12.350000000000009</v>
      </c>
      <c r="O156" s="451"/>
      <c r="P156" s="451">
        <f>+S156-I156</f>
        <v>12.350000000000009</v>
      </c>
      <c r="Q156" s="466">
        <v>2123</v>
      </c>
      <c r="R156" s="451">
        <v>2006.3</v>
      </c>
      <c r="S156" s="451">
        <v>116.7</v>
      </c>
      <c r="T156" s="451"/>
      <c r="U156" s="451">
        <f t="shared" si="145"/>
        <v>2123</v>
      </c>
      <c r="V156" s="451">
        <f t="shared" si="146"/>
        <v>2006.3</v>
      </c>
      <c r="W156" s="451">
        <f t="shared" si="146"/>
        <v>116.7</v>
      </c>
      <c r="X156" s="445">
        <f t="shared" si="88"/>
        <v>0</v>
      </c>
      <c r="Y156" s="451"/>
      <c r="Z156" s="451"/>
      <c r="AA156" s="451"/>
      <c r="AB156" s="483"/>
      <c r="AC156" s="483"/>
      <c r="AD156" s="451">
        <f>+AE156+AF156</f>
        <v>2123</v>
      </c>
      <c r="AE156" s="483">
        <v>2006.3</v>
      </c>
      <c r="AF156" s="483">
        <v>116.7</v>
      </c>
      <c r="AG156" s="451"/>
      <c r="AH156" s="483"/>
      <c r="AI156" s="483"/>
      <c r="AJ156" s="451"/>
      <c r="AK156" s="451"/>
      <c r="AL156" s="15"/>
    </row>
    <row r="157" spans="1:41" ht="51.75" hidden="1" customHeight="1">
      <c r="A157" s="8">
        <f t="shared" si="148"/>
        <v>6</v>
      </c>
      <c r="B157" s="328" t="s">
        <v>316</v>
      </c>
      <c r="C157" s="8" t="s">
        <v>317</v>
      </c>
      <c r="D157" s="8"/>
      <c r="E157" s="8" t="s">
        <v>318</v>
      </c>
      <c r="F157" s="27" t="s">
        <v>54</v>
      </c>
      <c r="G157" s="445">
        <f t="shared" si="85"/>
        <v>420</v>
      </c>
      <c r="H157" s="445">
        <v>400</v>
      </c>
      <c r="I157" s="445">
        <v>20</v>
      </c>
      <c r="J157" s="451">
        <v>0</v>
      </c>
      <c r="K157" s="483">
        <f t="shared" si="143"/>
        <v>120</v>
      </c>
      <c r="L157" s="451">
        <f t="shared" si="144"/>
        <v>116.5</v>
      </c>
      <c r="M157" s="451">
        <f t="shared" si="144"/>
        <v>3.5</v>
      </c>
      <c r="N157" s="483"/>
      <c r="O157" s="451"/>
      <c r="P157" s="451"/>
      <c r="Q157" s="466">
        <v>300</v>
      </c>
      <c r="R157" s="451">
        <v>283.5</v>
      </c>
      <c r="S157" s="451">
        <v>16.5</v>
      </c>
      <c r="T157" s="451"/>
      <c r="U157" s="451">
        <f t="shared" si="145"/>
        <v>300</v>
      </c>
      <c r="V157" s="451">
        <f t="shared" si="146"/>
        <v>283.5</v>
      </c>
      <c r="W157" s="451">
        <f t="shared" si="146"/>
        <v>16.5</v>
      </c>
      <c r="X157" s="445">
        <f t="shared" si="88"/>
        <v>0</v>
      </c>
      <c r="Y157" s="451"/>
      <c r="Z157" s="451"/>
      <c r="AA157" s="451"/>
      <c r="AB157" s="483"/>
      <c r="AC157" s="483"/>
      <c r="AD157" s="451">
        <f t="shared" ref="AD157:AD158" si="150">+AE157+AF157</f>
        <v>300</v>
      </c>
      <c r="AE157" s="483">
        <v>283.5</v>
      </c>
      <c r="AF157" s="483">
        <v>16.5</v>
      </c>
      <c r="AG157" s="451"/>
      <c r="AH157" s="483"/>
      <c r="AI157" s="483"/>
      <c r="AJ157" s="451"/>
      <c r="AK157" s="451"/>
      <c r="AL157" s="15"/>
    </row>
    <row r="158" spans="1:41" ht="51.75" hidden="1" customHeight="1">
      <c r="A158" s="8">
        <f t="shared" si="148"/>
        <v>7</v>
      </c>
      <c r="B158" s="328" t="s">
        <v>319</v>
      </c>
      <c r="C158" s="8" t="s">
        <v>320</v>
      </c>
      <c r="D158" s="8"/>
      <c r="E158" s="8" t="s">
        <v>321</v>
      </c>
      <c r="F158" s="27" t="s">
        <v>54</v>
      </c>
      <c r="G158" s="445">
        <f t="shared" si="85"/>
        <v>420</v>
      </c>
      <c r="H158" s="445">
        <v>400</v>
      </c>
      <c r="I158" s="445">
        <v>20</v>
      </c>
      <c r="J158" s="451">
        <v>0</v>
      </c>
      <c r="K158" s="483">
        <f t="shared" si="143"/>
        <v>120</v>
      </c>
      <c r="L158" s="451">
        <f t="shared" si="144"/>
        <v>116.5</v>
      </c>
      <c r="M158" s="451">
        <f t="shared" si="144"/>
        <v>3.5</v>
      </c>
      <c r="N158" s="483"/>
      <c r="O158" s="451"/>
      <c r="P158" s="451"/>
      <c r="Q158" s="466">
        <v>300</v>
      </c>
      <c r="R158" s="451">
        <v>283.5</v>
      </c>
      <c r="S158" s="451">
        <v>16.5</v>
      </c>
      <c r="T158" s="451"/>
      <c r="U158" s="451">
        <f t="shared" si="145"/>
        <v>300</v>
      </c>
      <c r="V158" s="451">
        <f t="shared" si="146"/>
        <v>283.5</v>
      </c>
      <c r="W158" s="451">
        <f t="shared" si="146"/>
        <v>16.5</v>
      </c>
      <c r="X158" s="445">
        <f t="shared" si="88"/>
        <v>0</v>
      </c>
      <c r="Y158" s="451"/>
      <c r="Z158" s="451"/>
      <c r="AA158" s="451"/>
      <c r="AB158" s="483"/>
      <c r="AC158" s="483"/>
      <c r="AD158" s="451">
        <f t="shared" si="150"/>
        <v>300</v>
      </c>
      <c r="AE158" s="483">
        <v>283.5</v>
      </c>
      <c r="AF158" s="483">
        <v>16.5</v>
      </c>
      <c r="AG158" s="451"/>
      <c r="AH158" s="483"/>
      <c r="AI158" s="483"/>
      <c r="AJ158" s="451"/>
      <c r="AK158" s="451"/>
      <c r="AL158" s="15"/>
    </row>
    <row r="159" spans="1:41" ht="51.75" hidden="1" customHeight="1">
      <c r="A159" s="8">
        <f t="shared" si="148"/>
        <v>8</v>
      </c>
      <c r="B159" s="328" t="s">
        <v>322</v>
      </c>
      <c r="C159" s="8" t="s">
        <v>57</v>
      </c>
      <c r="D159" s="8"/>
      <c r="E159" s="8" t="s">
        <v>323</v>
      </c>
      <c r="F159" s="8" t="s">
        <v>55</v>
      </c>
      <c r="G159" s="445">
        <f t="shared" si="85"/>
        <v>1575</v>
      </c>
      <c r="H159" s="445">
        <v>1500</v>
      </c>
      <c r="I159" s="445">
        <v>75</v>
      </c>
      <c r="J159" s="451">
        <v>0</v>
      </c>
      <c r="K159" s="483">
        <f t="shared" ref="K159:K160" si="151">+G159-Q159</f>
        <v>0</v>
      </c>
      <c r="L159" s="451"/>
      <c r="M159" s="451"/>
      <c r="N159" s="483"/>
      <c r="O159" s="451"/>
      <c r="P159" s="451"/>
      <c r="Q159" s="445">
        <f t="shared" ref="Q159:Q160" si="152">R159+S159</f>
        <v>1575</v>
      </c>
      <c r="R159" s="445">
        <v>1500</v>
      </c>
      <c r="S159" s="445">
        <v>75</v>
      </c>
      <c r="T159" s="451"/>
      <c r="U159" s="451">
        <f t="shared" si="145"/>
        <v>0</v>
      </c>
      <c r="V159" s="451">
        <f t="shared" si="146"/>
        <v>0</v>
      </c>
      <c r="W159" s="451">
        <f t="shared" si="146"/>
        <v>0</v>
      </c>
      <c r="X159" s="445">
        <f t="shared" si="88"/>
        <v>0</v>
      </c>
      <c r="Y159" s="451"/>
      <c r="Z159" s="451"/>
      <c r="AA159" s="451"/>
      <c r="AB159" s="483"/>
      <c r="AC159" s="483"/>
      <c r="AD159" s="451"/>
      <c r="AE159" s="483"/>
      <c r="AF159" s="483"/>
      <c r="AG159" s="445">
        <f t="shared" ref="AG159:AG160" si="153">AH159+AI159</f>
        <v>1575</v>
      </c>
      <c r="AH159" s="445">
        <v>1500</v>
      </c>
      <c r="AI159" s="445">
        <v>75</v>
      </c>
      <c r="AJ159" s="451"/>
      <c r="AK159" s="451"/>
      <c r="AL159" s="15"/>
    </row>
    <row r="160" spans="1:41" ht="51.75" hidden="1" customHeight="1">
      <c r="A160" s="8">
        <f t="shared" si="148"/>
        <v>9</v>
      </c>
      <c r="B160" s="328" t="s">
        <v>324</v>
      </c>
      <c r="C160" s="8" t="s">
        <v>325</v>
      </c>
      <c r="D160" s="8"/>
      <c r="E160" s="8" t="s">
        <v>326</v>
      </c>
      <c r="F160" s="8" t="s">
        <v>55</v>
      </c>
      <c r="G160" s="445">
        <f t="shared" si="85"/>
        <v>1458.43</v>
      </c>
      <c r="H160" s="445">
        <v>1388.98</v>
      </c>
      <c r="I160" s="445">
        <v>69.45</v>
      </c>
      <c r="J160" s="451">
        <v>0</v>
      </c>
      <c r="K160" s="483">
        <f t="shared" si="151"/>
        <v>0</v>
      </c>
      <c r="L160" s="451"/>
      <c r="M160" s="451"/>
      <c r="N160" s="483"/>
      <c r="O160" s="451"/>
      <c r="P160" s="451"/>
      <c r="Q160" s="445">
        <f t="shared" si="152"/>
        <v>1458.43</v>
      </c>
      <c r="R160" s="445">
        <v>1388.98</v>
      </c>
      <c r="S160" s="445">
        <v>69.45</v>
      </c>
      <c r="T160" s="451"/>
      <c r="U160" s="451">
        <f t="shared" si="145"/>
        <v>0</v>
      </c>
      <c r="V160" s="451">
        <f t="shared" si="146"/>
        <v>0</v>
      </c>
      <c r="W160" s="451">
        <f t="shared" si="146"/>
        <v>0</v>
      </c>
      <c r="X160" s="445">
        <f t="shared" si="88"/>
        <v>0</v>
      </c>
      <c r="Y160" s="451"/>
      <c r="Z160" s="451"/>
      <c r="AA160" s="451"/>
      <c r="AB160" s="483"/>
      <c r="AC160" s="483"/>
      <c r="AD160" s="451"/>
      <c r="AE160" s="483"/>
      <c r="AF160" s="483"/>
      <c r="AG160" s="445">
        <f t="shared" si="153"/>
        <v>1458.43</v>
      </c>
      <c r="AH160" s="445">
        <v>1388.98</v>
      </c>
      <c r="AI160" s="445">
        <v>69.45</v>
      </c>
      <c r="AJ160" s="451"/>
      <c r="AK160" s="451"/>
      <c r="AL160" s="15"/>
    </row>
    <row r="161" spans="1:41" ht="51.75" hidden="1" customHeight="1">
      <c r="A161" s="8">
        <f t="shared" si="148"/>
        <v>10</v>
      </c>
      <c r="B161" s="328" t="s">
        <v>1148</v>
      </c>
      <c r="C161" s="8" t="s">
        <v>1171</v>
      </c>
      <c r="D161" s="8"/>
      <c r="E161" s="8"/>
      <c r="F161" s="8" t="s">
        <v>55</v>
      </c>
      <c r="G161" s="445"/>
      <c r="H161" s="445"/>
      <c r="I161" s="445"/>
      <c r="J161" s="451"/>
      <c r="K161" s="483"/>
      <c r="L161" s="451"/>
      <c r="M161" s="451"/>
      <c r="N161" s="451">
        <f>+O161+P161</f>
        <v>671.00670000000002</v>
      </c>
      <c r="O161" s="483">
        <f>620.35+49.3967</f>
        <v>669.74670000000003</v>
      </c>
      <c r="P161" s="514">
        <f>32.66-31.4</f>
        <v>1.259999999999998</v>
      </c>
      <c r="Q161" s="451">
        <f>+R161+S161</f>
        <v>671.00670000000002</v>
      </c>
      <c r="R161" s="483">
        <f>620.35+49.3967</f>
        <v>669.74670000000003</v>
      </c>
      <c r="S161" s="514">
        <f>32.66-31.4</f>
        <v>1.259999999999998</v>
      </c>
      <c r="T161" s="533" t="s">
        <v>1166</v>
      </c>
      <c r="U161" s="451"/>
      <c r="V161" s="451"/>
      <c r="W161" s="451"/>
      <c r="X161" s="445"/>
      <c r="Y161" s="451"/>
      <c r="Z161" s="451"/>
      <c r="AA161" s="451"/>
      <c r="AB161" s="483"/>
      <c r="AC161" s="483"/>
      <c r="AD161" s="451"/>
      <c r="AE161" s="483"/>
      <c r="AF161" s="483"/>
      <c r="AG161" s="451">
        <f>+AH161+AI161</f>
        <v>671.00670000000002</v>
      </c>
      <c r="AH161" s="483">
        <f>620.35+49.3967</f>
        <v>669.74670000000003</v>
      </c>
      <c r="AI161" s="514">
        <f>32.66-31.4</f>
        <v>1.259999999999998</v>
      </c>
      <c r="AJ161" s="451"/>
      <c r="AK161" s="451"/>
      <c r="AL161" s="15"/>
    </row>
    <row r="162" spans="1:41" s="14" customFormat="1" ht="51.75" customHeight="1">
      <c r="A162" s="4" t="s">
        <v>997</v>
      </c>
      <c r="B162" s="507" t="s">
        <v>328</v>
      </c>
      <c r="C162" s="418"/>
      <c r="D162" s="418"/>
      <c r="E162" s="417">
        <v>0</v>
      </c>
      <c r="F162" s="417"/>
      <c r="G162" s="446">
        <f t="shared" ref="G162:T162" si="154">SUM(G163:G179)</f>
        <v>10137.530000000001</v>
      </c>
      <c r="H162" s="446">
        <f t="shared" si="154"/>
        <v>9654.67</v>
      </c>
      <c r="I162" s="446">
        <f t="shared" si="154"/>
        <v>482.85999999999996</v>
      </c>
      <c r="J162" s="446">
        <f t="shared" si="154"/>
        <v>0</v>
      </c>
      <c r="K162" s="446">
        <f t="shared" si="154"/>
        <v>1794.5600000000002</v>
      </c>
      <c r="L162" s="446">
        <f t="shared" si="154"/>
        <v>1720.2</v>
      </c>
      <c r="M162" s="446">
        <f t="shared" si="154"/>
        <v>74.36</v>
      </c>
      <c r="N162" s="446">
        <f t="shared" si="154"/>
        <v>1794.56</v>
      </c>
      <c r="O162" s="446">
        <f t="shared" si="154"/>
        <v>1720.1999999999998</v>
      </c>
      <c r="P162" s="446">
        <f t="shared" si="154"/>
        <v>74.36</v>
      </c>
      <c r="Q162" s="446">
        <f t="shared" si="154"/>
        <v>10137.530000000001</v>
      </c>
      <c r="R162" s="446">
        <f t="shared" si="154"/>
        <v>9654.6699999999983</v>
      </c>
      <c r="S162" s="446">
        <f t="shared" si="154"/>
        <v>482.85999999999996</v>
      </c>
      <c r="T162" s="446">
        <f t="shared" si="154"/>
        <v>0</v>
      </c>
      <c r="U162" s="446">
        <f t="shared" ref="U162:AF162" si="155">SUM(U163:U172)</f>
        <v>6768.62</v>
      </c>
      <c r="V162" s="446">
        <f t="shared" si="155"/>
        <v>6419.03</v>
      </c>
      <c r="W162" s="446">
        <f t="shared" si="155"/>
        <v>349.59</v>
      </c>
      <c r="X162" s="446">
        <f t="shared" si="155"/>
        <v>1824.67</v>
      </c>
      <c r="Y162" s="446">
        <f t="shared" si="155"/>
        <v>1737.67</v>
      </c>
      <c r="Z162" s="446">
        <f t="shared" si="155"/>
        <v>87</v>
      </c>
      <c r="AA162" s="446">
        <f t="shared" si="155"/>
        <v>2455.35</v>
      </c>
      <c r="AB162" s="446">
        <f t="shared" si="155"/>
        <v>2329.56</v>
      </c>
      <c r="AC162" s="446">
        <f t="shared" si="155"/>
        <v>125.78999999999999</v>
      </c>
      <c r="AD162" s="446">
        <f t="shared" si="155"/>
        <v>2488.6</v>
      </c>
      <c r="AE162" s="446">
        <f t="shared" si="155"/>
        <v>2351.8000000000002</v>
      </c>
      <c r="AF162" s="446">
        <f t="shared" si="155"/>
        <v>136.79999999999998</v>
      </c>
      <c r="AG162" s="446">
        <f>SUM(AG163:AG179)</f>
        <v>3368.91</v>
      </c>
      <c r="AH162" s="446">
        <f>SUM(AH163:AH179)</f>
        <v>3235.64</v>
      </c>
      <c r="AI162" s="446">
        <f>SUM(AI163:AI179)</f>
        <v>133.27000000000001</v>
      </c>
      <c r="AJ162" s="446"/>
      <c r="AK162" s="446">
        <f>SUM(AK163:AK172)</f>
        <v>0</v>
      </c>
      <c r="AL162" s="16"/>
      <c r="AM162" s="368">
        <f>+'NĂM 2022'!K59+'NĂM 2023'!N69+'NĂM 2024'!J64+'NĂM 2025'!J57</f>
        <v>10137.529999999999</v>
      </c>
      <c r="AN162" s="368">
        <f>+'NĂM 2022'!L59+'NĂM 2023'!O69+'NĂM 2024'!K64+'NĂM 2025'!K57</f>
        <v>9654.67</v>
      </c>
      <c r="AO162" s="368">
        <f>+'NĂM 2022'!M59+'NĂM 2023'!P69+'NĂM 2024'!L64+'NĂM 2025'!L57</f>
        <v>482.86</v>
      </c>
    </row>
    <row r="163" spans="1:41" ht="75" hidden="1">
      <c r="A163" s="8">
        <v>1</v>
      </c>
      <c r="B163" s="328" t="s">
        <v>329</v>
      </c>
      <c r="C163" s="8" t="s">
        <v>330</v>
      </c>
      <c r="D163" s="8"/>
      <c r="E163" s="8" t="s">
        <v>128</v>
      </c>
      <c r="F163" s="27" t="s">
        <v>52</v>
      </c>
      <c r="G163" s="445">
        <f t="shared" ref="G163:G229" si="156">H163+I163</f>
        <v>1050</v>
      </c>
      <c r="H163" s="445">
        <v>1000</v>
      </c>
      <c r="I163" s="445">
        <v>50</v>
      </c>
      <c r="J163" s="451">
        <v>0</v>
      </c>
      <c r="K163" s="483">
        <f>+G163-Q163</f>
        <v>0</v>
      </c>
      <c r="L163" s="451"/>
      <c r="M163" s="451"/>
      <c r="N163" s="483"/>
      <c r="O163" s="451"/>
      <c r="P163" s="451"/>
      <c r="Q163" s="466">
        <v>1050</v>
      </c>
      <c r="R163" s="451">
        <v>1000</v>
      </c>
      <c r="S163" s="451">
        <v>50</v>
      </c>
      <c r="T163" s="451"/>
      <c r="U163" s="451">
        <f>+V163+W163</f>
        <v>1050</v>
      </c>
      <c r="V163" s="451">
        <f>+Y163+AB163+AE163</f>
        <v>1000</v>
      </c>
      <c r="W163" s="451">
        <f>+Z163+AC163+AF163</f>
        <v>50</v>
      </c>
      <c r="X163" s="445">
        <f t="shared" ref="X163:X229" si="157">Y163+Z163</f>
        <v>1050</v>
      </c>
      <c r="Y163" s="445">
        <v>1000</v>
      </c>
      <c r="Z163" s="445">
        <v>50</v>
      </c>
      <c r="AA163" s="445"/>
      <c r="AB163" s="481"/>
      <c r="AC163" s="481"/>
      <c r="AD163" s="445"/>
      <c r="AE163" s="481"/>
      <c r="AF163" s="481"/>
      <c r="AG163" s="445"/>
      <c r="AH163" s="481"/>
      <c r="AI163" s="481"/>
      <c r="AJ163" s="445"/>
      <c r="AK163" s="451"/>
      <c r="AL163" s="15"/>
      <c r="AM163" s="506">
        <f>+G162-U162</f>
        <v>3368.9100000000008</v>
      </c>
      <c r="AN163" s="506">
        <f>+H162-V162</f>
        <v>3235.6400000000003</v>
      </c>
      <c r="AO163" s="506">
        <f>+I162-W162</f>
        <v>133.26999999999998</v>
      </c>
    </row>
    <row r="164" spans="1:41" ht="75" hidden="1">
      <c r="A164" s="8">
        <f>+A163+1</f>
        <v>2</v>
      </c>
      <c r="B164" s="328" t="s">
        <v>331</v>
      </c>
      <c r="C164" s="135" t="s">
        <v>808</v>
      </c>
      <c r="D164" s="8"/>
      <c r="E164" s="8" t="s">
        <v>128</v>
      </c>
      <c r="F164" s="27" t="s">
        <v>52</v>
      </c>
      <c r="G164" s="445">
        <f t="shared" si="156"/>
        <v>774.67</v>
      </c>
      <c r="H164" s="445">
        <v>737.67</v>
      </c>
      <c r="I164" s="445">
        <v>37</v>
      </c>
      <c r="J164" s="451">
        <v>0</v>
      </c>
      <c r="K164" s="483">
        <f t="shared" ref="K164:K177" si="158">+G164-Q164</f>
        <v>0</v>
      </c>
      <c r="L164" s="451"/>
      <c r="M164" s="451"/>
      <c r="N164" s="483"/>
      <c r="O164" s="451"/>
      <c r="P164" s="451"/>
      <c r="Q164" s="466">
        <v>774.67</v>
      </c>
      <c r="R164" s="451">
        <v>737.67</v>
      </c>
      <c r="S164" s="451">
        <v>37</v>
      </c>
      <c r="T164" s="451"/>
      <c r="U164" s="451">
        <f t="shared" ref="U164:U172" si="159">+V164+W164</f>
        <v>774.67</v>
      </c>
      <c r="V164" s="451">
        <f t="shared" ref="V164:W176" si="160">+Y164+AB164+AE164</f>
        <v>737.67</v>
      </c>
      <c r="W164" s="451">
        <f t="shared" si="160"/>
        <v>37</v>
      </c>
      <c r="X164" s="445">
        <f t="shared" si="157"/>
        <v>774.67</v>
      </c>
      <c r="Y164" s="445">
        <v>737.67</v>
      </c>
      <c r="Z164" s="445">
        <v>37</v>
      </c>
      <c r="AA164" s="445"/>
      <c r="AB164" s="481"/>
      <c r="AC164" s="481"/>
      <c r="AD164" s="445"/>
      <c r="AE164" s="481"/>
      <c r="AF164" s="481"/>
      <c r="AG164" s="445"/>
      <c r="AH164" s="481"/>
      <c r="AI164" s="481"/>
      <c r="AJ164" s="445"/>
      <c r="AK164" s="451"/>
      <c r="AL164" s="15"/>
      <c r="AM164" s="506">
        <f>+AM163-AG162</f>
        <v>0</v>
      </c>
      <c r="AN164" s="506">
        <f t="shared" ref="AN164:AO164" si="161">+AN163-AH162</f>
        <v>0</v>
      </c>
      <c r="AO164" s="506">
        <f t="shared" si="161"/>
        <v>0</v>
      </c>
    </row>
    <row r="165" spans="1:41" ht="75" hidden="1">
      <c r="A165" s="8">
        <f t="shared" ref="A165:A179" si="162">+A164+1</f>
        <v>3</v>
      </c>
      <c r="B165" s="328" t="s">
        <v>333</v>
      </c>
      <c r="C165" s="8" t="s">
        <v>334</v>
      </c>
      <c r="D165" s="8"/>
      <c r="E165" s="8" t="s">
        <v>128</v>
      </c>
      <c r="F165" s="27" t="s">
        <v>53</v>
      </c>
      <c r="G165" s="445">
        <f t="shared" si="156"/>
        <v>876.75</v>
      </c>
      <c r="H165" s="445">
        <v>835</v>
      </c>
      <c r="I165" s="445">
        <v>41.75</v>
      </c>
      <c r="J165" s="451">
        <v>0</v>
      </c>
      <c r="K165" s="483">
        <f>+L165+M165</f>
        <v>190.25</v>
      </c>
      <c r="L165" s="451">
        <f>+H165-R165</f>
        <v>185</v>
      </c>
      <c r="M165" s="451">
        <f>+I165-S165</f>
        <v>5.25</v>
      </c>
      <c r="N165" s="483"/>
      <c r="O165" s="451"/>
      <c r="P165" s="451"/>
      <c r="Q165" s="466">
        <v>686.5</v>
      </c>
      <c r="R165" s="451">
        <v>650</v>
      </c>
      <c r="S165" s="451">
        <v>36.5</v>
      </c>
      <c r="T165" s="451"/>
      <c r="U165" s="451">
        <f t="shared" si="159"/>
        <v>686.5</v>
      </c>
      <c r="V165" s="451">
        <f t="shared" si="160"/>
        <v>650</v>
      </c>
      <c r="W165" s="451">
        <f t="shared" si="160"/>
        <v>36.5</v>
      </c>
      <c r="X165" s="445">
        <f t="shared" si="157"/>
        <v>0</v>
      </c>
      <c r="Y165" s="451"/>
      <c r="Z165" s="451"/>
      <c r="AA165" s="451">
        <f>+AB165+AC165</f>
        <v>686.5</v>
      </c>
      <c r="AB165" s="483">
        <v>650</v>
      </c>
      <c r="AC165" s="483">
        <v>36.5</v>
      </c>
      <c r="AD165" s="451"/>
      <c r="AE165" s="483"/>
      <c r="AF165" s="483"/>
      <c r="AG165" s="451"/>
      <c r="AH165" s="483"/>
      <c r="AI165" s="483"/>
      <c r="AJ165" s="451"/>
      <c r="AK165" s="451"/>
      <c r="AL165" s="15"/>
    </row>
    <row r="166" spans="1:41" ht="75" hidden="1">
      <c r="A166" s="8">
        <f t="shared" si="162"/>
        <v>4</v>
      </c>
      <c r="B166" s="328" t="s">
        <v>335</v>
      </c>
      <c r="C166" s="8" t="s">
        <v>336</v>
      </c>
      <c r="D166" s="8"/>
      <c r="E166" s="8" t="s">
        <v>337</v>
      </c>
      <c r="F166" s="27" t="s">
        <v>53</v>
      </c>
      <c r="G166" s="445">
        <f t="shared" si="156"/>
        <v>315</v>
      </c>
      <c r="H166" s="445">
        <v>300</v>
      </c>
      <c r="I166" s="445">
        <v>15</v>
      </c>
      <c r="J166" s="451">
        <v>0</v>
      </c>
      <c r="K166" s="483"/>
      <c r="L166" s="451"/>
      <c r="M166" s="451"/>
      <c r="N166" s="483">
        <f>+O166+P166</f>
        <v>105.35</v>
      </c>
      <c r="O166" s="451">
        <f>+R166-H166</f>
        <v>99.56</v>
      </c>
      <c r="P166" s="451">
        <f>+S166-I166</f>
        <v>5.7899999999999991</v>
      </c>
      <c r="Q166" s="466">
        <v>420.35</v>
      </c>
      <c r="R166" s="451">
        <v>399.56</v>
      </c>
      <c r="S166" s="451">
        <v>20.79</v>
      </c>
      <c r="T166" s="451"/>
      <c r="U166" s="451">
        <f t="shared" si="159"/>
        <v>420.35</v>
      </c>
      <c r="V166" s="451">
        <f t="shared" si="160"/>
        <v>399.56</v>
      </c>
      <c r="W166" s="451">
        <f t="shared" si="160"/>
        <v>20.79</v>
      </c>
      <c r="X166" s="445">
        <f t="shared" si="157"/>
        <v>0</v>
      </c>
      <c r="Y166" s="451"/>
      <c r="Z166" s="451"/>
      <c r="AA166" s="451">
        <f t="shared" ref="AA166:AA168" si="163">+AB166+AC166</f>
        <v>420.35</v>
      </c>
      <c r="AB166" s="483">
        <v>399.56</v>
      </c>
      <c r="AC166" s="483">
        <v>20.79</v>
      </c>
      <c r="AD166" s="451"/>
      <c r="AE166" s="483"/>
      <c r="AF166" s="483"/>
      <c r="AG166" s="451"/>
      <c r="AH166" s="483"/>
      <c r="AI166" s="483"/>
      <c r="AJ166" s="451"/>
      <c r="AK166" s="451"/>
      <c r="AL166" s="15"/>
    </row>
    <row r="167" spans="1:41" ht="75" hidden="1">
      <c r="A167" s="8">
        <f t="shared" si="162"/>
        <v>5</v>
      </c>
      <c r="B167" s="328" t="s">
        <v>338</v>
      </c>
      <c r="C167" s="8" t="s">
        <v>339</v>
      </c>
      <c r="D167" s="8"/>
      <c r="E167" s="8" t="s">
        <v>104</v>
      </c>
      <c r="F167" s="27" t="s">
        <v>53</v>
      </c>
      <c r="G167" s="445">
        <f t="shared" si="156"/>
        <v>735</v>
      </c>
      <c r="H167" s="445">
        <v>700</v>
      </c>
      <c r="I167" s="445">
        <v>35</v>
      </c>
      <c r="J167" s="451">
        <v>0</v>
      </c>
      <c r="K167" s="483">
        <f>+L167+M167</f>
        <v>71.5</v>
      </c>
      <c r="L167" s="451">
        <f t="shared" ref="L167:M170" si="164">+H167-R167</f>
        <v>70</v>
      </c>
      <c r="M167" s="451">
        <f t="shared" si="164"/>
        <v>1.5</v>
      </c>
      <c r="N167" s="483"/>
      <c r="O167" s="451"/>
      <c r="P167" s="451"/>
      <c r="Q167" s="466">
        <v>663.5</v>
      </c>
      <c r="R167" s="451">
        <v>630</v>
      </c>
      <c r="S167" s="451">
        <v>33.5</v>
      </c>
      <c r="T167" s="451"/>
      <c r="U167" s="451">
        <f t="shared" si="159"/>
        <v>663.5</v>
      </c>
      <c r="V167" s="451">
        <f t="shared" si="160"/>
        <v>630</v>
      </c>
      <c r="W167" s="451">
        <f t="shared" si="160"/>
        <v>33.5</v>
      </c>
      <c r="X167" s="445">
        <f t="shared" si="157"/>
        <v>0</v>
      </c>
      <c r="Y167" s="451"/>
      <c r="Z167" s="451"/>
      <c r="AA167" s="451">
        <f t="shared" si="163"/>
        <v>663.5</v>
      </c>
      <c r="AB167" s="483">
        <v>630</v>
      </c>
      <c r="AC167" s="483">
        <v>33.5</v>
      </c>
      <c r="AD167" s="451"/>
      <c r="AE167" s="483"/>
      <c r="AF167" s="483"/>
      <c r="AG167" s="451"/>
      <c r="AH167" s="483"/>
      <c r="AI167" s="483"/>
      <c r="AJ167" s="451"/>
      <c r="AK167" s="451"/>
      <c r="AL167" s="15"/>
    </row>
    <row r="168" spans="1:41" ht="75" hidden="1">
      <c r="A168" s="8">
        <f t="shared" si="162"/>
        <v>6</v>
      </c>
      <c r="B168" s="328" t="s">
        <v>340</v>
      </c>
      <c r="C168" s="8" t="s">
        <v>330</v>
      </c>
      <c r="D168" s="8"/>
      <c r="E168" s="8" t="s">
        <v>341</v>
      </c>
      <c r="F168" s="27" t="s">
        <v>53</v>
      </c>
      <c r="G168" s="445">
        <f t="shared" si="156"/>
        <v>840</v>
      </c>
      <c r="H168" s="445">
        <v>800</v>
      </c>
      <c r="I168" s="445">
        <v>40</v>
      </c>
      <c r="J168" s="451">
        <v>0</v>
      </c>
      <c r="K168" s="483">
        <f>+L168+M168</f>
        <v>155</v>
      </c>
      <c r="L168" s="451">
        <f t="shared" si="164"/>
        <v>150</v>
      </c>
      <c r="M168" s="451">
        <f t="shared" si="164"/>
        <v>5</v>
      </c>
      <c r="N168" s="483"/>
      <c r="O168" s="451"/>
      <c r="P168" s="451"/>
      <c r="Q168" s="466">
        <v>685</v>
      </c>
      <c r="R168" s="451">
        <v>650</v>
      </c>
      <c r="S168" s="451">
        <v>35</v>
      </c>
      <c r="T168" s="451"/>
      <c r="U168" s="451">
        <f t="shared" si="159"/>
        <v>685</v>
      </c>
      <c r="V168" s="451">
        <f t="shared" si="160"/>
        <v>650</v>
      </c>
      <c r="W168" s="451">
        <f t="shared" si="160"/>
        <v>35</v>
      </c>
      <c r="X168" s="445">
        <f t="shared" si="157"/>
        <v>0</v>
      </c>
      <c r="Y168" s="451"/>
      <c r="Z168" s="451"/>
      <c r="AA168" s="451">
        <f t="shared" si="163"/>
        <v>685</v>
      </c>
      <c r="AB168" s="483">
        <v>650</v>
      </c>
      <c r="AC168" s="483">
        <v>35</v>
      </c>
      <c r="AD168" s="451"/>
      <c r="AE168" s="483"/>
      <c r="AF168" s="483"/>
      <c r="AG168" s="451"/>
      <c r="AH168" s="483"/>
      <c r="AI168" s="483"/>
      <c r="AJ168" s="451"/>
      <c r="AK168" s="451"/>
      <c r="AL168" s="15"/>
    </row>
    <row r="169" spans="1:41" ht="75" hidden="1">
      <c r="A169" s="8">
        <f t="shared" si="162"/>
        <v>7</v>
      </c>
      <c r="B169" s="328" t="s">
        <v>342</v>
      </c>
      <c r="C169" s="8" t="s">
        <v>343</v>
      </c>
      <c r="D169" s="8"/>
      <c r="E169" s="8" t="s">
        <v>159</v>
      </c>
      <c r="F169" s="8" t="s">
        <v>54</v>
      </c>
      <c r="G169" s="445">
        <f t="shared" si="156"/>
        <v>1050</v>
      </c>
      <c r="H169" s="445">
        <v>1000</v>
      </c>
      <c r="I169" s="445">
        <v>50</v>
      </c>
      <c r="J169" s="451">
        <v>0</v>
      </c>
      <c r="K169" s="483">
        <f>+L169+M169</f>
        <v>203.6</v>
      </c>
      <c r="L169" s="451">
        <f t="shared" si="164"/>
        <v>200</v>
      </c>
      <c r="M169" s="451">
        <f t="shared" si="164"/>
        <v>3.6000000000000014</v>
      </c>
      <c r="N169" s="483"/>
      <c r="O169" s="451"/>
      <c r="P169" s="451"/>
      <c r="Q169" s="466">
        <v>846.4</v>
      </c>
      <c r="R169" s="451">
        <v>800</v>
      </c>
      <c r="S169" s="451">
        <v>46.4</v>
      </c>
      <c r="T169" s="451"/>
      <c r="U169" s="451">
        <f t="shared" si="159"/>
        <v>846.4</v>
      </c>
      <c r="V169" s="451">
        <f t="shared" si="160"/>
        <v>800</v>
      </c>
      <c r="W169" s="451">
        <f t="shared" si="160"/>
        <v>46.4</v>
      </c>
      <c r="X169" s="445">
        <f t="shared" si="157"/>
        <v>0</v>
      </c>
      <c r="Y169" s="451"/>
      <c r="Z169" s="451"/>
      <c r="AA169" s="451"/>
      <c r="AB169" s="483"/>
      <c r="AC169" s="483"/>
      <c r="AD169" s="451">
        <f>+AE169+AF169</f>
        <v>846.4</v>
      </c>
      <c r="AE169" s="483">
        <v>800</v>
      </c>
      <c r="AF169" s="483">
        <v>46.4</v>
      </c>
      <c r="AG169" s="451"/>
      <c r="AH169" s="483"/>
      <c r="AI169" s="483"/>
      <c r="AJ169" s="451"/>
      <c r="AK169" s="451"/>
      <c r="AL169" s="15"/>
    </row>
    <row r="170" spans="1:41" ht="75" hidden="1">
      <c r="A170" s="8">
        <f t="shared" si="162"/>
        <v>8</v>
      </c>
      <c r="B170" s="328" t="s">
        <v>346</v>
      </c>
      <c r="C170" s="8" t="s">
        <v>347</v>
      </c>
      <c r="D170" s="8"/>
      <c r="E170" s="8" t="s">
        <v>348</v>
      </c>
      <c r="F170" s="8" t="s">
        <v>54</v>
      </c>
      <c r="G170" s="445">
        <f t="shared" si="156"/>
        <v>1050</v>
      </c>
      <c r="H170" s="445">
        <v>1000</v>
      </c>
      <c r="I170" s="445">
        <v>50</v>
      </c>
      <c r="J170" s="451">
        <v>0</v>
      </c>
      <c r="K170" s="483">
        <f>+L170+M170</f>
        <v>592.80000000000007</v>
      </c>
      <c r="L170" s="451">
        <f t="shared" si="164"/>
        <v>568.20000000000005</v>
      </c>
      <c r="M170" s="451">
        <f t="shared" si="164"/>
        <v>24.6</v>
      </c>
      <c r="N170" s="483"/>
      <c r="O170" s="451"/>
      <c r="P170" s="451"/>
      <c r="Q170" s="466">
        <v>457.2</v>
      </c>
      <c r="R170" s="451">
        <v>431.8</v>
      </c>
      <c r="S170" s="451">
        <v>25.4</v>
      </c>
      <c r="T170" s="451"/>
      <c r="U170" s="451">
        <f t="shared" si="159"/>
        <v>457.2</v>
      </c>
      <c r="V170" s="451">
        <f t="shared" si="160"/>
        <v>431.8</v>
      </c>
      <c r="W170" s="451">
        <f t="shared" si="160"/>
        <v>25.4</v>
      </c>
      <c r="X170" s="445">
        <f t="shared" si="157"/>
        <v>0</v>
      </c>
      <c r="Y170" s="451"/>
      <c r="Z170" s="451"/>
      <c r="AA170" s="451"/>
      <c r="AB170" s="483"/>
      <c r="AC170" s="483"/>
      <c r="AD170" s="451">
        <f>+AE170+AF170</f>
        <v>457.2</v>
      </c>
      <c r="AE170" s="483">
        <v>431.8</v>
      </c>
      <c r="AF170" s="483">
        <v>25.4</v>
      </c>
      <c r="AG170" s="451"/>
      <c r="AH170" s="483"/>
      <c r="AI170" s="483"/>
      <c r="AJ170" s="451"/>
      <c r="AK170" s="451"/>
      <c r="AL170" s="15"/>
    </row>
    <row r="171" spans="1:41" ht="75" hidden="1">
      <c r="A171" s="8">
        <f t="shared" si="162"/>
        <v>9</v>
      </c>
      <c r="B171" s="328" t="s">
        <v>349</v>
      </c>
      <c r="C171" s="8" t="s">
        <v>350</v>
      </c>
      <c r="D171" s="8"/>
      <c r="E171" s="8" t="s">
        <v>348</v>
      </c>
      <c r="F171" s="8" t="s">
        <v>54</v>
      </c>
      <c r="G171" s="445">
        <f t="shared" si="156"/>
        <v>320.25</v>
      </c>
      <c r="H171" s="445">
        <v>305</v>
      </c>
      <c r="I171" s="445">
        <v>15.25</v>
      </c>
      <c r="J171" s="451">
        <v>0</v>
      </c>
      <c r="K171" s="483"/>
      <c r="L171" s="451"/>
      <c r="M171" s="451"/>
      <c r="N171" s="483">
        <f>+O171+P171</f>
        <v>526.15</v>
      </c>
      <c r="O171" s="451">
        <f>+R171-H171</f>
        <v>495</v>
      </c>
      <c r="P171" s="451">
        <f>+S171-I171</f>
        <v>31.15</v>
      </c>
      <c r="Q171" s="466">
        <v>846.4</v>
      </c>
      <c r="R171" s="451">
        <v>800</v>
      </c>
      <c r="S171" s="451">
        <v>46.4</v>
      </c>
      <c r="T171" s="451"/>
      <c r="U171" s="451">
        <f t="shared" si="159"/>
        <v>846.4</v>
      </c>
      <c r="V171" s="451">
        <f t="shared" si="160"/>
        <v>800</v>
      </c>
      <c r="W171" s="451">
        <f t="shared" si="160"/>
        <v>46.4</v>
      </c>
      <c r="X171" s="445">
        <f t="shared" si="157"/>
        <v>0</v>
      </c>
      <c r="Y171" s="451"/>
      <c r="Z171" s="451"/>
      <c r="AA171" s="451"/>
      <c r="AB171" s="483"/>
      <c r="AC171" s="483"/>
      <c r="AD171" s="451">
        <f>+AE171+AF171</f>
        <v>846.4</v>
      </c>
      <c r="AE171" s="483">
        <v>800</v>
      </c>
      <c r="AF171" s="483">
        <v>46.4</v>
      </c>
      <c r="AG171" s="451"/>
      <c r="AH171" s="483"/>
      <c r="AI171" s="483"/>
      <c r="AJ171" s="451"/>
      <c r="AK171" s="451"/>
      <c r="AL171" s="15"/>
    </row>
    <row r="172" spans="1:41" ht="75" hidden="1">
      <c r="A172" s="8">
        <f t="shared" si="162"/>
        <v>10</v>
      </c>
      <c r="B172" s="328" t="s">
        <v>357</v>
      </c>
      <c r="C172" s="8" t="s">
        <v>332</v>
      </c>
      <c r="D172" s="8"/>
      <c r="E172" s="8" t="s">
        <v>94</v>
      </c>
      <c r="F172" s="8" t="s">
        <v>54</v>
      </c>
      <c r="G172" s="445">
        <f t="shared" si="156"/>
        <v>420.01</v>
      </c>
      <c r="H172" s="445">
        <v>400</v>
      </c>
      <c r="I172" s="445">
        <v>20.010000000000002</v>
      </c>
      <c r="J172" s="451"/>
      <c r="K172" s="483">
        <f>+L172+M172</f>
        <v>81.41</v>
      </c>
      <c r="L172" s="451">
        <f>+H172-R172</f>
        <v>80</v>
      </c>
      <c r="M172" s="451">
        <f>+I172-S172</f>
        <v>1.4100000000000001</v>
      </c>
      <c r="N172" s="483"/>
      <c r="O172" s="451"/>
      <c r="P172" s="451"/>
      <c r="Q172" s="466">
        <v>338.6</v>
      </c>
      <c r="R172" s="451">
        <v>320</v>
      </c>
      <c r="S172" s="451">
        <v>18.600000000000001</v>
      </c>
      <c r="T172" s="451"/>
      <c r="U172" s="451">
        <f t="shared" si="159"/>
        <v>338.6</v>
      </c>
      <c r="V172" s="451">
        <f t="shared" si="160"/>
        <v>320</v>
      </c>
      <c r="W172" s="451">
        <f t="shared" si="160"/>
        <v>18.600000000000001</v>
      </c>
      <c r="X172" s="445">
        <f t="shared" si="157"/>
        <v>0</v>
      </c>
      <c r="Y172" s="451"/>
      <c r="Z172" s="451"/>
      <c r="AA172" s="451"/>
      <c r="AB172" s="483"/>
      <c r="AC172" s="483"/>
      <c r="AD172" s="451">
        <f>+AE172+AF172</f>
        <v>338.6</v>
      </c>
      <c r="AE172" s="483">
        <v>320</v>
      </c>
      <c r="AF172" s="483">
        <v>18.600000000000001</v>
      </c>
      <c r="AG172" s="451"/>
      <c r="AH172" s="483"/>
      <c r="AI172" s="483"/>
      <c r="AJ172" s="451"/>
      <c r="AK172" s="451"/>
      <c r="AL172" s="15"/>
    </row>
    <row r="173" spans="1:41" ht="75" hidden="1">
      <c r="A173" s="8">
        <f t="shared" si="162"/>
        <v>11</v>
      </c>
      <c r="B173" s="328" t="s">
        <v>1124</v>
      </c>
      <c r="C173" s="8" t="s">
        <v>352</v>
      </c>
      <c r="D173" s="8"/>
      <c r="E173" s="8" t="s">
        <v>94</v>
      </c>
      <c r="F173" s="8" t="s">
        <v>55</v>
      </c>
      <c r="G173" s="445">
        <f>H173+I173</f>
        <v>420</v>
      </c>
      <c r="H173" s="445">
        <v>400</v>
      </c>
      <c r="I173" s="445">
        <v>20</v>
      </c>
      <c r="J173" s="451">
        <v>0</v>
      </c>
      <c r="K173" s="483">
        <f t="shared" si="158"/>
        <v>0</v>
      </c>
      <c r="L173" s="451"/>
      <c r="M173" s="451"/>
      <c r="N173" s="483"/>
      <c r="O173" s="451"/>
      <c r="P173" s="451"/>
      <c r="Q173" s="451">
        <f>+R173+S173</f>
        <v>420</v>
      </c>
      <c r="R173" s="483">
        <v>400</v>
      </c>
      <c r="S173" s="483">
        <v>20</v>
      </c>
      <c r="T173" s="451"/>
      <c r="U173" s="451">
        <f>+V173+W173</f>
        <v>0</v>
      </c>
      <c r="V173" s="451">
        <f t="shared" si="160"/>
        <v>0</v>
      </c>
      <c r="W173" s="451">
        <f t="shared" si="160"/>
        <v>0</v>
      </c>
      <c r="X173" s="445">
        <f>Y173+Z173</f>
        <v>0</v>
      </c>
      <c r="Y173" s="451"/>
      <c r="Z173" s="451"/>
      <c r="AA173" s="451"/>
      <c r="AB173" s="483"/>
      <c r="AC173" s="483"/>
      <c r="AD173" s="451"/>
      <c r="AE173" s="483"/>
      <c r="AF173" s="483"/>
      <c r="AG173" s="451">
        <f>+AH173+AI173</f>
        <v>420</v>
      </c>
      <c r="AH173" s="483">
        <v>400</v>
      </c>
      <c r="AI173" s="483">
        <v>20</v>
      </c>
      <c r="AJ173" s="451"/>
      <c r="AK173" s="451"/>
      <c r="AL173" s="15"/>
    </row>
    <row r="174" spans="1:41" ht="75" hidden="1">
      <c r="A174" s="8">
        <f t="shared" si="162"/>
        <v>12</v>
      </c>
      <c r="B174" s="328" t="s">
        <v>353</v>
      </c>
      <c r="C174" s="8" t="s">
        <v>354</v>
      </c>
      <c r="D174" s="8"/>
      <c r="E174" s="8" t="s">
        <v>128</v>
      </c>
      <c r="F174" s="8" t="s">
        <v>55</v>
      </c>
      <c r="G174" s="445">
        <f>H174+I174</f>
        <v>454.65</v>
      </c>
      <c r="H174" s="445">
        <v>433</v>
      </c>
      <c r="I174" s="445">
        <v>21.65</v>
      </c>
      <c r="J174" s="451">
        <v>0</v>
      </c>
      <c r="K174" s="483"/>
      <c r="L174" s="451"/>
      <c r="M174" s="451"/>
      <c r="N174" s="483">
        <f>+O174+P174</f>
        <v>5.0000000000000711E-2</v>
      </c>
      <c r="O174" s="451">
        <f>+R174-H174</f>
        <v>0</v>
      </c>
      <c r="P174" s="451">
        <f>+S174-I174</f>
        <v>5.0000000000000711E-2</v>
      </c>
      <c r="Q174" s="451">
        <f t="shared" ref="Q174:Q176" si="165">+R174+S174</f>
        <v>454.7</v>
      </c>
      <c r="R174" s="483">
        <v>433</v>
      </c>
      <c r="S174" s="483">
        <v>21.7</v>
      </c>
      <c r="T174" s="451"/>
      <c r="U174" s="451">
        <f>+V174+W174</f>
        <v>0</v>
      </c>
      <c r="V174" s="451">
        <f t="shared" si="160"/>
        <v>0</v>
      </c>
      <c r="W174" s="451">
        <f t="shared" si="160"/>
        <v>0</v>
      </c>
      <c r="X174" s="445">
        <f>Y174+Z174</f>
        <v>0</v>
      </c>
      <c r="Y174" s="451"/>
      <c r="Z174" s="451"/>
      <c r="AA174" s="451"/>
      <c r="AB174" s="483"/>
      <c r="AC174" s="483"/>
      <c r="AD174" s="451"/>
      <c r="AE174" s="483"/>
      <c r="AF174" s="483"/>
      <c r="AG174" s="451">
        <f t="shared" ref="AG174:AG176" si="166">+AH174+AI174</f>
        <v>454.7</v>
      </c>
      <c r="AH174" s="483">
        <v>433</v>
      </c>
      <c r="AI174" s="483">
        <v>21.7</v>
      </c>
      <c r="AJ174" s="451"/>
      <c r="AK174" s="451"/>
      <c r="AL174" s="15"/>
    </row>
    <row r="175" spans="1:41" ht="75" hidden="1">
      <c r="A175" s="8">
        <f t="shared" si="162"/>
        <v>13</v>
      </c>
      <c r="B175" s="328" t="s">
        <v>355</v>
      </c>
      <c r="C175" s="8" t="s">
        <v>334</v>
      </c>
      <c r="D175" s="8"/>
      <c r="E175" s="8" t="s">
        <v>128</v>
      </c>
      <c r="F175" s="8" t="s">
        <v>55</v>
      </c>
      <c r="G175" s="445">
        <f>H175+I175</f>
        <v>1050</v>
      </c>
      <c r="H175" s="445">
        <v>1000</v>
      </c>
      <c r="I175" s="445">
        <v>50</v>
      </c>
      <c r="J175" s="451"/>
      <c r="K175" s="483">
        <f>+L175+M175</f>
        <v>500</v>
      </c>
      <c r="L175" s="451">
        <f>+H175-R175</f>
        <v>467</v>
      </c>
      <c r="M175" s="451">
        <f>+I175-S175</f>
        <v>33</v>
      </c>
      <c r="N175" s="483"/>
      <c r="O175" s="451"/>
      <c r="P175" s="451"/>
      <c r="Q175" s="451">
        <f t="shared" si="165"/>
        <v>550</v>
      </c>
      <c r="R175" s="483">
        <v>533</v>
      </c>
      <c r="S175" s="483">
        <v>17</v>
      </c>
      <c r="T175" s="451"/>
      <c r="U175" s="451">
        <f>+V175+W175</f>
        <v>0</v>
      </c>
      <c r="V175" s="451">
        <f t="shared" si="160"/>
        <v>0</v>
      </c>
      <c r="W175" s="451">
        <f t="shared" si="160"/>
        <v>0</v>
      </c>
      <c r="X175" s="445">
        <f>Y175+Z175</f>
        <v>0</v>
      </c>
      <c r="Y175" s="451"/>
      <c r="Z175" s="451"/>
      <c r="AA175" s="451"/>
      <c r="AB175" s="483"/>
      <c r="AC175" s="483"/>
      <c r="AD175" s="451"/>
      <c r="AE175" s="483"/>
      <c r="AF175" s="483"/>
      <c r="AG175" s="451">
        <f t="shared" si="166"/>
        <v>550</v>
      </c>
      <c r="AH175" s="483">
        <v>533</v>
      </c>
      <c r="AI175" s="483">
        <v>17</v>
      </c>
      <c r="AJ175" s="451"/>
      <c r="AK175" s="451"/>
      <c r="AL175" s="15"/>
    </row>
    <row r="176" spans="1:41" ht="75" hidden="1">
      <c r="A176" s="8">
        <f t="shared" si="162"/>
        <v>14</v>
      </c>
      <c r="B176" s="328" t="s">
        <v>356</v>
      </c>
      <c r="C176" s="8" t="s">
        <v>330</v>
      </c>
      <c r="D176" s="8"/>
      <c r="E176" s="8" t="s">
        <v>94</v>
      </c>
      <c r="F176" s="8" t="s">
        <v>55</v>
      </c>
      <c r="G176" s="445">
        <f>H176+I176</f>
        <v>420</v>
      </c>
      <c r="H176" s="445">
        <v>400</v>
      </c>
      <c r="I176" s="445">
        <v>20</v>
      </c>
      <c r="J176" s="451"/>
      <c r="K176" s="483">
        <f t="shared" si="158"/>
        <v>0</v>
      </c>
      <c r="L176" s="451"/>
      <c r="M176" s="451"/>
      <c r="N176" s="483"/>
      <c r="O176" s="451"/>
      <c r="P176" s="451"/>
      <c r="Q176" s="451">
        <f t="shared" si="165"/>
        <v>420</v>
      </c>
      <c r="R176" s="483">
        <v>400</v>
      </c>
      <c r="S176" s="483">
        <v>20</v>
      </c>
      <c r="T176" s="451"/>
      <c r="U176" s="451">
        <f>+V176+W176</f>
        <v>0</v>
      </c>
      <c r="V176" s="451">
        <f t="shared" si="160"/>
        <v>0</v>
      </c>
      <c r="W176" s="451">
        <f t="shared" si="160"/>
        <v>0</v>
      </c>
      <c r="X176" s="445">
        <f>Y176+Z176</f>
        <v>0</v>
      </c>
      <c r="Y176" s="451"/>
      <c r="Z176" s="451"/>
      <c r="AA176" s="451"/>
      <c r="AB176" s="483"/>
      <c r="AC176" s="483"/>
      <c r="AD176" s="451"/>
      <c r="AE176" s="483"/>
      <c r="AF176" s="483"/>
      <c r="AG176" s="451">
        <f t="shared" si="166"/>
        <v>420</v>
      </c>
      <c r="AH176" s="483">
        <v>400</v>
      </c>
      <c r="AI176" s="483">
        <v>20</v>
      </c>
      <c r="AJ176" s="451"/>
      <c r="AK176" s="451"/>
      <c r="AL176" s="15"/>
    </row>
    <row r="177" spans="1:41" ht="30" hidden="1">
      <c r="A177" s="8">
        <f t="shared" si="162"/>
        <v>15</v>
      </c>
      <c r="B177" s="328" t="s">
        <v>1150</v>
      </c>
      <c r="C177" s="8" t="s">
        <v>1151</v>
      </c>
      <c r="D177" s="8"/>
      <c r="E177" s="8"/>
      <c r="F177" s="8" t="s">
        <v>55</v>
      </c>
      <c r="G177" s="445">
        <f>H177+I177</f>
        <v>361.2</v>
      </c>
      <c r="H177" s="445">
        <v>344</v>
      </c>
      <c r="I177" s="445">
        <v>17.2</v>
      </c>
      <c r="J177" s="451"/>
      <c r="K177" s="483">
        <f t="shared" si="158"/>
        <v>0</v>
      </c>
      <c r="L177" s="451"/>
      <c r="M177" s="451"/>
      <c r="N177" s="483"/>
      <c r="O177" s="451"/>
      <c r="P177" s="451"/>
      <c r="Q177" s="451">
        <f>+R177+S177</f>
        <v>361.2</v>
      </c>
      <c r="R177" s="483">
        <v>344</v>
      </c>
      <c r="S177" s="483">
        <v>17.2</v>
      </c>
      <c r="T177" s="451"/>
      <c r="U177" s="451"/>
      <c r="V177" s="451"/>
      <c r="W177" s="451"/>
      <c r="X177" s="445"/>
      <c r="Y177" s="451"/>
      <c r="Z177" s="451"/>
      <c r="AA177" s="451"/>
      <c r="AB177" s="483"/>
      <c r="AC177" s="483"/>
      <c r="AD177" s="451"/>
      <c r="AE177" s="483"/>
      <c r="AF177" s="483"/>
      <c r="AG177" s="451">
        <f>+AH177+AI177</f>
        <v>361.2</v>
      </c>
      <c r="AH177" s="483">
        <v>344</v>
      </c>
      <c r="AI177" s="483">
        <v>17.2</v>
      </c>
      <c r="AJ177" s="451"/>
      <c r="AK177" s="451"/>
      <c r="AL177" s="15"/>
    </row>
    <row r="178" spans="1:41" ht="30" hidden="1">
      <c r="A178" s="8">
        <f t="shared" si="162"/>
        <v>16</v>
      </c>
      <c r="B178" s="328" t="s">
        <v>1152</v>
      </c>
      <c r="C178" s="8" t="s">
        <v>1153</v>
      </c>
      <c r="D178" s="8"/>
      <c r="E178" s="8"/>
      <c r="F178" s="8" t="s">
        <v>55</v>
      </c>
      <c r="G178" s="445"/>
      <c r="H178" s="445"/>
      <c r="I178" s="445"/>
      <c r="J178" s="451"/>
      <c r="K178" s="483"/>
      <c r="L178" s="451"/>
      <c r="M178" s="451"/>
      <c r="N178" s="451">
        <f>+O178+P178</f>
        <v>420</v>
      </c>
      <c r="O178" s="483">
        <v>400</v>
      </c>
      <c r="P178" s="483">
        <v>20</v>
      </c>
      <c r="Q178" s="451">
        <f>+R178+S178</f>
        <v>420</v>
      </c>
      <c r="R178" s="483">
        <v>400</v>
      </c>
      <c r="S178" s="483">
        <v>20</v>
      </c>
      <c r="T178" s="451"/>
      <c r="U178" s="451"/>
      <c r="V178" s="451"/>
      <c r="W178" s="451"/>
      <c r="X178" s="445"/>
      <c r="Y178" s="451"/>
      <c r="Z178" s="451"/>
      <c r="AA178" s="451"/>
      <c r="AB178" s="483"/>
      <c r="AC178" s="483"/>
      <c r="AD178" s="451"/>
      <c r="AE178" s="483"/>
      <c r="AF178" s="483"/>
      <c r="AG178" s="451">
        <f>+AH178+AI178</f>
        <v>420</v>
      </c>
      <c r="AH178" s="483">
        <v>400</v>
      </c>
      <c r="AI178" s="483">
        <v>20</v>
      </c>
      <c r="AJ178" s="451"/>
      <c r="AK178" s="451"/>
      <c r="AL178" s="15"/>
    </row>
    <row r="179" spans="1:41" ht="30" hidden="1">
      <c r="A179" s="8">
        <f t="shared" si="162"/>
        <v>17</v>
      </c>
      <c r="B179" s="328" t="s">
        <v>1149</v>
      </c>
      <c r="C179" s="8" t="s">
        <v>1151</v>
      </c>
      <c r="D179" s="8"/>
      <c r="E179" s="8"/>
      <c r="F179" s="8" t="s">
        <v>55</v>
      </c>
      <c r="G179" s="445"/>
      <c r="H179" s="445"/>
      <c r="I179" s="445"/>
      <c r="J179" s="451"/>
      <c r="K179" s="483"/>
      <c r="L179" s="451"/>
      <c r="M179" s="451"/>
      <c r="N179" s="451">
        <f>+O179+P179</f>
        <v>743.01</v>
      </c>
      <c r="O179" s="483">
        <f>736.1-10.46</f>
        <v>725.64</v>
      </c>
      <c r="P179" s="483">
        <v>17.37</v>
      </c>
      <c r="Q179" s="451">
        <f>+R179+S179</f>
        <v>743.01</v>
      </c>
      <c r="R179" s="483">
        <f>736.1-10.46</f>
        <v>725.64</v>
      </c>
      <c r="S179" s="483">
        <v>17.37</v>
      </c>
      <c r="T179" s="451"/>
      <c r="U179" s="451"/>
      <c r="V179" s="451"/>
      <c r="W179" s="451"/>
      <c r="X179" s="445"/>
      <c r="Y179" s="451"/>
      <c r="Z179" s="451"/>
      <c r="AA179" s="451"/>
      <c r="AB179" s="483"/>
      <c r="AC179" s="483"/>
      <c r="AD179" s="451"/>
      <c r="AE179" s="483"/>
      <c r="AF179" s="483"/>
      <c r="AG179" s="451">
        <f>+AH179+AI179</f>
        <v>743.01</v>
      </c>
      <c r="AH179" s="483">
        <f>736.1-10.46</f>
        <v>725.64</v>
      </c>
      <c r="AI179" s="483">
        <v>17.37</v>
      </c>
      <c r="AJ179" s="451"/>
      <c r="AK179" s="451"/>
      <c r="AL179" s="15"/>
    </row>
    <row r="180" spans="1:41" s="14" customFormat="1" ht="23.25" customHeight="1">
      <c r="A180" s="4" t="s">
        <v>998</v>
      </c>
      <c r="B180" s="507" t="s">
        <v>359</v>
      </c>
      <c r="C180" s="418"/>
      <c r="D180" s="418"/>
      <c r="E180" s="417">
        <v>0</v>
      </c>
      <c r="F180" s="417"/>
      <c r="G180" s="446">
        <f>SUM(G181:G196)</f>
        <v>11098.64</v>
      </c>
      <c r="H180" s="446">
        <f t="shared" ref="H180:T180" si="167">SUM(H181:H196)</f>
        <v>10569.14</v>
      </c>
      <c r="I180" s="446">
        <f t="shared" si="167"/>
        <v>529.5</v>
      </c>
      <c r="J180" s="446">
        <f t="shared" si="167"/>
        <v>0</v>
      </c>
      <c r="K180" s="446">
        <f t="shared" si="167"/>
        <v>1090.73</v>
      </c>
      <c r="L180" s="446">
        <f t="shared" si="167"/>
        <v>1055.3399999999999</v>
      </c>
      <c r="M180" s="446">
        <f t="shared" si="167"/>
        <v>35.390000000000008</v>
      </c>
      <c r="N180" s="446">
        <f t="shared" si="167"/>
        <v>1090.73</v>
      </c>
      <c r="O180" s="446">
        <f t="shared" si="167"/>
        <v>1055.3399999999999</v>
      </c>
      <c r="P180" s="446">
        <f t="shared" si="167"/>
        <v>35.390000000000008</v>
      </c>
      <c r="Q180" s="446">
        <f t="shared" si="167"/>
        <v>11098.64</v>
      </c>
      <c r="R180" s="446">
        <f t="shared" si="167"/>
        <v>10569.14</v>
      </c>
      <c r="S180" s="446">
        <f t="shared" si="167"/>
        <v>529.5</v>
      </c>
      <c r="T180" s="446">
        <f t="shared" si="167"/>
        <v>0</v>
      </c>
      <c r="U180" s="446">
        <f t="shared" ref="U180:AK180" si="168">SUM(U181:U194)</f>
        <v>7409.4199999999992</v>
      </c>
      <c r="V180" s="446">
        <f t="shared" si="168"/>
        <v>7026.91</v>
      </c>
      <c r="W180" s="446">
        <f t="shared" si="168"/>
        <v>382.51</v>
      </c>
      <c r="X180" s="446">
        <f t="shared" si="168"/>
        <v>1997.25</v>
      </c>
      <c r="Y180" s="446">
        <f t="shared" si="168"/>
        <v>1902.25</v>
      </c>
      <c r="Z180" s="446">
        <f t="shared" si="168"/>
        <v>95</v>
      </c>
      <c r="AA180" s="446">
        <f t="shared" si="168"/>
        <v>2687.87</v>
      </c>
      <c r="AB180" s="446">
        <f t="shared" si="168"/>
        <v>2550.16</v>
      </c>
      <c r="AC180" s="446">
        <f t="shared" si="168"/>
        <v>137.70999999999998</v>
      </c>
      <c r="AD180" s="446">
        <f t="shared" si="168"/>
        <v>2724.3</v>
      </c>
      <c r="AE180" s="446">
        <f t="shared" si="168"/>
        <v>2574.5</v>
      </c>
      <c r="AF180" s="446">
        <f t="shared" si="168"/>
        <v>149.80000000000001</v>
      </c>
      <c r="AG180" s="446">
        <f>SUM(AG181:AG196)</f>
        <v>3689.2200000000003</v>
      </c>
      <c r="AH180" s="446">
        <f t="shared" ref="AH180:AI180" si="169">SUM(AH181:AH196)</f>
        <v>3542.2299999999996</v>
      </c>
      <c r="AI180" s="446">
        <f t="shared" si="169"/>
        <v>146.99</v>
      </c>
      <c r="AJ180" s="446"/>
      <c r="AK180" s="446">
        <f t="shared" si="168"/>
        <v>0</v>
      </c>
      <c r="AL180" s="16"/>
      <c r="AM180" s="368">
        <f>+'NĂM 2022'!K62+'NĂM 2023'!N74+'NĂM 2024'!J69+'NĂM 2025'!J63</f>
        <v>11098.64</v>
      </c>
      <c r="AN180" s="368">
        <f>+'NĂM 2022'!L62+'NĂM 2023'!O74+'NĂM 2024'!K69+'NĂM 2025'!K63</f>
        <v>10569.14</v>
      </c>
      <c r="AO180" s="368">
        <f>+'NĂM 2022'!M62+'NĂM 2023'!P74+'NĂM 2024'!L69+'NĂM 2025'!L63</f>
        <v>529.5</v>
      </c>
    </row>
    <row r="181" spans="1:41" ht="75" hidden="1">
      <c r="A181" s="8">
        <v>1</v>
      </c>
      <c r="B181" s="328" t="s">
        <v>360</v>
      </c>
      <c r="C181" s="8" t="s">
        <v>361</v>
      </c>
      <c r="D181" s="8"/>
      <c r="E181" s="8" t="s">
        <v>326</v>
      </c>
      <c r="F181" s="27" t="s">
        <v>52</v>
      </c>
      <c r="G181" s="445">
        <f t="shared" si="156"/>
        <v>737.25</v>
      </c>
      <c r="H181" s="445">
        <v>702.25</v>
      </c>
      <c r="I181" s="445">
        <v>35</v>
      </c>
      <c r="J181" s="451">
        <v>0</v>
      </c>
      <c r="K181" s="483">
        <f>+G181-Q181</f>
        <v>0</v>
      </c>
      <c r="L181" s="451"/>
      <c r="M181" s="451"/>
      <c r="N181" s="483"/>
      <c r="O181" s="451"/>
      <c r="P181" s="451"/>
      <c r="Q181" s="466">
        <v>737.25</v>
      </c>
      <c r="R181" s="451">
        <v>702.25</v>
      </c>
      <c r="S181" s="451">
        <v>35</v>
      </c>
      <c r="T181" s="451"/>
      <c r="U181" s="451">
        <f>+V181+W181</f>
        <v>737.25</v>
      </c>
      <c r="V181" s="451">
        <f>+Y181+AB181+AE181</f>
        <v>702.25</v>
      </c>
      <c r="W181" s="451">
        <f>+Z181+AC181+AF181</f>
        <v>35</v>
      </c>
      <c r="X181" s="445">
        <f t="shared" si="157"/>
        <v>737.25</v>
      </c>
      <c r="Y181" s="445">
        <v>702.25</v>
      </c>
      <c r="Z181" s="445">
        <v>35</v>
      </c>
      <c r="AA181" s="445"/>
      <c r="AB181" s="481"/>
      <c r="AC181" s="481"/>
      <c r="AD181" s="445"/>
      <c r="AE181" s="481"/>
      <c r="AF181" s="481"/>
      <c r="AG181" s="445"/>
      <c r="AH181" s="481"/>
      <c r="AI181" s="481"/>
      <c r="AJ181" s="445"/>
      <c r="AK181" s="451"/>
      <c r="AL181" s="15"/>
      <c r="AM181" s="506">
        <f>+G180-U180</f>
        <v>3689.2200000000003</v>
      </c>
      <c r="AN181" s="506">
        <f>+H180-V180</f>
        <v>3542.2299999999996</v>
      </c>
      <c r="AO181" s="506">
        <f>+I180-W180</f>
        <v>146.99</v>
      </c>
    </row>
    <row r="182" spans="1:41" ht="75" hidden="1">
      <c r="A182" s="8">
        <f>+A181+1</f>
        <v>2</v>
      </c>
      <c r="B182" s="328" t="s">
        <v>362</v>
      </c>
      <c r="C182" s="8" t="s">
        <v>363</v>
      </c>
      <c r="D182" s="8"/>
      <c r="E182" s="8" t="s">
        <v>94</v>
      </c>
      <c r="F182" s="27" t="s">
        <v>52</v>
      </c>
      <c r="G182" s="445">
        <f t="shared" si="156"/>
        <v>420</v>
      </c>
      <c r="H182" s="445">
        <v>400</v>
      </c>
      <c r="I182" s="445">
        <v>20</v>
      </c>
      <c r="J182" s="451">
        <v>0</v>
      </c>
      <c r="K182" s="483">
        <f t="shared" ref="K182:K194" si="170">+G182-Q182</f>
        <v>0</v>
      </c>
      <c r="L182" s="451"/>
      <c r="M182" s="451"/>
      <c r="N182" s="483"/>
      <c r="O182" s="451"/>
      <c r="P182" s="451"/>
      <c r="Q182" s="466">
        <v>420</v>
      </c>
      <c r="R182" s="451">
        <v>400</v>
      </c>
      <c r="S182" s="451">
        <v>20</v>
      </c>
      <c r="T182" s="451"/>
      <c r="U182" s="451">
        <f t="shared" ref="U182:U194" si="171">+V182+W182</f>
        <v>420</v>
      </c>
      <c r="V182" s="451">
        <f t="shared" ref="V182:W194" si="172">+Y182+AB182+AE182</f>
        <v>400</v>
      </c>
      <c r="W182" s="451">
        <f t="shared" si="172"/>
        <v>20</v>
      </c>
      <c r="X182" s="445">
        <f t="shared" si="157"/>
        <v>420</v>
      </c>
      <c r="Y182" s="445">
        <v>400</v>
      </c>
      <c r="Z182" s="445">
        <v>20</v>
      </c>
      <c r="AA182" s="445"/>
      <c r="AB182" s="481"/>
      <c r="AC182" s="481"/>
      <c r="AD182" s="445"/>
      <c r="AE182" s="481"/>
      <c r="AF182" s="481"/>
      <c r="AG182" s="445"/>
      <c r="AH182" s="481"/>
      <c r="AI182" s="481"/>
      <c r="AJ182" s="445"/>
      <c r="AK182" s="451"/>
      <c r="AL182" s="15"/>
      <c r="AM182" s="365">
        <f>+AM181-AG180</f>
        <v>0</v>
      </c>
      <c r="AN182" s="365">
        <f t="shared" ref="AN182:AO182" si="173">+AN181-AH180</f>
        <v>0</v>
      </c>
      <c r="AO182" s="365">
        <f t="shared" si="173"/>
        <v>0</v>
      </c>
    </row>
    <row r="183" spans="1:41" ht="75" hidden="1">
      <c r="A183" s="8">
        <f t="shared" ref="A183:A196" si="174">+A182+1</f>
        <v>3</v>
      </c>
      <c r="B183" s="328" t="s">
        <v>364</v>
      </c>
      <c r="C183" s="8" t="s">
        <v>365</v>
      </c>
      <c r="D183" s="8"/>
      <c r="E183" s="8" t="s">
        <v>94</v>
      </c>
      <c r="F183" s="27" t="s">
        <v>52</v>
      </c>
      <c r="G183" s="445">
        <f t="shared" si="156"/>
        <v>420</v>
      </c>
      <c r="H183" s="445">
        <v>400</v>
      </c>
      <c r="I183" s="445">
        <v>20</v>
      </c>
      <c r="J183" s="451">
        <v>0</v>
      </c>
      <c r="K183" s="483">
        <f t="shared" si="170"/>
        <v>0</v>
      </c>
      <c r="L183" s="451"/>
      <c r="M183" s="451"/>
      <c r="N183" s="483"/>
      <c r="O183" s="451"/>
      <c r="P183" s="451"/>
      <c r="Q183" s="466">
        <v>420</v>
      </c>
      <c r="R183" s="451">
        <v>400</v>
      </c>
      <c r="S183" s="451">
        <v>20</v>
      </c>
      <c r="T183" s="451"/>
      <c r="U183" s="451">
        <f t="shared" si="171"/>
        <v>420</v>
      </c>
      <c r="V183" s="451">
        <f t="shared" si="172"/>
        <v>400</v>
      </c>
      <c r="W183" s="451">
        <f t="shared" si="172"/>
        <v>20</v>
      </c>
      <c r="X183" s="445">
        <f t="shared" si="157"/>
        <v>420</v>
      </c>
      <c r="Y183" s="445">
        <v>400</v>
      </c>
      <c r="Z183" s="445">
        <v>20</v>
      </c>
      <c r="AA183" s="445"/>
      <c r="AB183" s="481"/>
      <c r="AC183" s="481"/>
      <c r="AD183" s="445"/>
      <c r="AE183" s="481"/>
      <c r="AF183" s="481"/>
      <c r="AG183" s="445"/>
      <c r="AH183" s="481"/>
      <c r="AI183" s="481"/>
      <c r="AJ183" s="445"/>
      <c r="AK183" s="451"/>
      <c r="AL183" s="15"/>
    </row>
    <row r="184" spans="1:41" ht="75" hidden="1">
      <c r="A184" s="8">
        <f t="shared" si="174"/>
        <v>4</v>
      </c>
      <c r="B184" s="328" t="s">
        <v>366</v>
      </c>
      <c r="C184" s="8" t="s">
        <v>367</v>
      </c>
      <c r="D184" s="8"/>
      <c r="E184" s="8" t="s">
        <v>94</v>
      </c>
      <c r="F184" s="27" t="s">
        <v>52</v>
      </c>
      <c r="G184" s="445">
        <f t="shared" si="156"/>
        <v>420</v>
      </c>
      <c r="H184" s="445">
        <v>400</v>
      </c>
      <c r="I184" s="445">
        <v>20</v>
      </c>
      <c r="J184" s="451">
        <v>0</v>
      </c>
      <c r="K184" s="483">
        <f t="shared" si="170"/>
        <v>0</v>
      </c>
      <c r="L184" s="451"/>
      <c r="M184" s="451"/>
      <c r="N184" s="483"/>
      <c r="O184" s="451"/>
      <c r="P184" s="451"/>
      <c r="Q184" s="466">
        <v>420</v>
      </c>
      <c r="R184" s="451">
        <v>400</v>
      </c>
      <c r="S184" s="451">
        <v>20</v>
      </c>
      <c r="T184" s="451"/>
      <c r="U184" s="451">
        <f t="shared" si="171"/>
        <v>420</v>
      </c>
      <c r="V184" s="451">
        <f t="shared" si="172"/>
        <v>400</v>
      </c>
      <c r="W184" s="451">
        <f t="shared" si="172"/>
        <v>20</v>
      </c>
      <c r="X184" s="445">
        <f t="shared" si="157"/>
        <v>420</v>
      </c>
      <c r="Y184" s="445">
        <v>400</v>
      </c>
      <c r="Z184" s="445">
        <v>20</v>
      </c>
      <c r="AA184" s="445"/>
      <c r="AB184" s="481"/>
      <c r="AC184" s="481"/>
      <c r="AD184" s="445"/>
      <c r="AE184" s="481"/>
      <c r="AF184" s="481"/>
      <c r="AG184" s="445"/>
      <c r="AH184" s="481"/>
      <c r="AI184" s="481"/>
      <c r="AJ184" s="445"/>
      <c r="AK184" s="451"/>
      <c r="AL184" s="15"/>
    </row>
    <row r="185" spans="1:41" ht="75" hidden="1">
      <c r="A185" s="8">
        <f t="shared" si="174"/>
        <v>5</v>
      </c>
      <c r="B185" s="328" t="s">
        <v>368</v>
      </c>
      <c r="C185" s="8" t="s">
        <v>369</v>
      </c>
      <c r="D185" s="8"/>
      <c r="E185" s="8" t="s">
        <v>251</v>
      </c>
      <c r="F185" s="8" t="s">
        <v>53</v>
      </c>
      <c r="G185" s="445">
        <f t="shared" si="156"/>
        <v>1455</v>
      </c>
      <c r="H185" s="445">
        <v>1386</v>
      </c>
      <c r="I185" s="445">
        <v>69</v>
      </c>
      <c r="J185" s="451"/>
      <c r="K185" s="483">
        <f>+L185+M185</f>
        <v>264.40999999999997</v>
      </c>
      <c r="L185" s="451">
        <f>+H185-R185</f>
        <v>258.27</v>
      </c>
      <c r="M185" s="451">
        <f>+I185-S185</f>
        <v>6.1400000000000006</v>
      </c>
      <c r="N185" s="483"/>
      <c r="O185" s="451"/>
      <c r="P185" s="451"/>
      <c r="Q185" s="466">
        <v>1190.5899999999999</v>
      </c>
      <c r="R185" s="451">
        <v>1127.73</v>
      </c>
      <c r="S185" s="451">
        <v>62.86</v>
      </c>
      <c r="T185" s="451"/>
      <c r="U185" s="451">
        <f t="shared" si="171"/>
        <v>1190.5899999999999</v>
      </c>
      <c r="V185" s="451">
        <f t="shared" si="172"/>
        <v>1127.73</v>
      </c>
      <c r="W185" s="451">
        <f t="shared" si="172"/>
        <v>62.86</v>
      </c>
      <c r="X185" s="445">
        <f t="shared" si="157"/>
        <v>0</v>
      </c>
      <c r="Y185" s="451"/>
      <c r="Z185" s="451"/>
      <c r="AA185" s="451">
        <f>+AB185+AC185</f>
        <v>1190.5899999999999</v>
      </c>
      <c r="AB185" s="483">
        <v>1127.73</v>
      </c>
      <c r="AC185" s="483">
        <v>62.86</v>
      </c>
      <c r="AD185" s="451"/>
      <c r="AE185" s="483"/>
      <c r="AF185" s="483"/>
      <c r="AG185" s="451"/>
      <c r="AH185" s="483"/>
      <c r="AI185" s="483"/>
      <c r="AJ185" s="451"/>
      <c r="AK185" s="451"/>
      <c r="AL185" s="15"/>
    </row>
    <row r="186" spans="1:41" ht="75" hidden="1">
      <c r="A186" s="8">
        <f t="shared" si="174"/>
        <v>6</v>
      </c>
      <c r="B186" s="328" t="s">
        <v>370</v>
      </c>
      <c r="C186" s="8" t="s">
        <v>371</v>
      </c>
      <c r="D186" s="8"/>
      <c r="E186" s="8" t="s">
        <v>372</v>
      </c>
      <c r="F186" s="8" t="s">
        <v>53</v>
      </c>
      <c r="G186" s="445">
        <f t="shared" si="156"/>
        <v>1890</v>
      </c>
      <c r="H186" s="445">
        <v>1800</v>
      </c>
      <c r="I186" s="445">
        <v>90</v>
      </c>
      <c r="J186" s="451"/>
      <c r="K186" s="483">
        <f t="shared" ref="K186:K189" si="175">+L186+M186</f>
        <v>392.71999999999991</v>
      </c>
      <c r="L186" s="451">
        <f t="shared" ref="L186:M189" si="176">+H186-R186</f>
        <v>377.56999999999994</v>
      </c>
      <c r="M186" s="451">
        <f t="shared" si="176"/>
        <v>15.150000000000006</v>
      </c>
      <c r="N186" s="483"/>
      <c r="O186" s="451"/>
      <c r="P186" s="451"/>
      <c r="Q186" s="466">
        <v>1497.28</v>
      </c>
      <c r="R186" s="451">
        <v>1422.43</v>
      </c>
      <c r="S186" s="451">
        <v>74.849999999999994</v>
      </c>
      <c r="T186" s="451"/>
      <c r="U186" s="451">
        <f t="shared" si="171"/>
        <v>1497.28</v>
      </c>
      <c r="V186" s="451">
        <f t="shared" si="172"/>
        <v>1422.43</v>
      </c>
      <c r="W186" s="451">
        <f t="shared" si="172"/>
        <v>74.849999999999994</v>
      </c>
      <c r="X186" s="445">
        <f t="shared" si="157"/>
        <v>0</v>
      </c>
      <c r="Y186" s="451"/>
      <c r="Z186" s="451"/>
      <c r="AA186" s="451">
        <f>+AB186+AC186</f>
        <v>1497.28</v>
      </c>
      <c r="AB186" s="483">
        <v>1422.43</v>
      </c>
      <c r="AC186" s="483">
        <v>74.849999999999994</v>
      </c>
      <c r="AD186" s="451"/>
      <c r="AE186" s="483"/>
      <c r="AF186" s="483"/>
      <c r="AG186" s="451"/>
      <c r="AH186" s="483"/>
      <c r="AI186" s="483"/>
      <c r="AJ186" s="451"/>
      <c r="AK186" s="451"/>
      <c r="AL186" s="15"/>
    </row>
    <row r="187" spans="1:41" ht="75" hidden="1">
      <c r="A187" s="8">
        <f t="shared" si="174"/>
        <v>7</v>
      </c>
      <c r="B187" s="328" t="s">
        <v>373</v>
      </c>
      <c r="C187" s="8" t="s">
        <v>374</v>
      </c>
      <c r="D187" s="8"/>
      <c r="E187" s="8" t="s">
        <v>326</v>
      </c>
      <c r="F187" s="8" t="s">
        <v>53</v>
      </c>
      <c r="G187" s="445">
        <f t="shared" si="156"/>
        <v>1575</v>
      </c>
      <c r="H187" s="445">
        <v>1500</v>
      </c>
      <c r="I187" s="445">
        <v>75</v>
      </c>
      <c r="J187" s="451"/>
      <c r="K187" s="483">
        <f t="shared" si="175"/>
        <v>70</v>
      </c>
      <c r="L187" s="451">
        <f t="shared" si="176"/>
        <v>70</v>
      </c>
      <c r="M187" s="451"/>
      <c r="N187" s="483">
        <f>+O187+P187</f>
        <v>8.2000000000000028</v>
      </c>
      <c r="O187" s="451"/>
      <c r="P187" s="451">
        <f>+S187-I187</f>
        <v>8.2000000000000028</v>
      </c>
      <c r="Q187" s="466">
        <v>1513.2</v>
      </c>
      <c r="R187" s="451">
        <v>1430</v>
      </c>
      <c r="S187" s="451">
        <v>83.2</v>
      </c>
      <c r="T187" s="451"/>
      <c r="U187" s="451">
        <f t="shared" si="171"/>
        <v>1513.2</v>
      </c>
      <c r="V187" s="451">
        <f t="shared" si="172"/>
        <v>1430</v>
      </c>
      <c r="W187" s="451">
        <f t="shared" si="172"/>
        <v>83.2</v>
      </c>
      <c r="X187" s="445">
        <f t="shared" si="157"/>
        <v>0</v>
      </c>
      <c r="Y187" s="451"/>
      <c r="Z187" s="451"/>
      <c r="AA187" s="451"/>
      <c r="AB187" s="483"/>
      <c r="AC187" s="483"/>
      <c r="AD187" s="451">
        <f>+AE187+AF187</f>
        <v>1513.2</v>
      </c>
      <c r="AE187" s="483">
        <v>1430</v>
      </c>
      <c r="AF187" s="483">
        <v>83.2</v>
      </c>
      <c r="AG187" s="451"/>
      <c r="AH187" s="483"/>
      <c r="AI187" s="483"/>
      <c r="AJ187" s="451"/>
      <c r="AK187" s="451"/>
      <c r="AL187" s="15"/>
    </row>
    <row r="188" spans="1:41" ht="30" hidden="1">
      <c r="A188" s="8">
        <f t="shared" si="174"/>
        <v>8</v>
      </c>
      <c r="B188" s="328" t="s">
        <v>375</v>
      </c>
      <c r="C188" s="8" t="s">
        <v>376</v>
      </c>
      <c r="D188" s="8"/>
      <c r="E188" s="8" t="s">
        <v>377</v>
      </c>
      <c r="F188" s="8" t="s">
        <v>54</v>
      </c>
      <c r="G188" s="445">
        <f t="shared" si="156"/>
        <v>1064</v>
      </c>
      <c r="H188" s="445">
        <v>1014</v>
      </c>
      <c r="I188" s="445">
        <v>50</v>
      </c>
      <c r="J188" s="451"/>
      <c r="K188" s="483">
        <f t="shared" si="175"/>
        <v>39.5</v>
      </c>
      <c r="L188" s="451">
        <f t="shared" si="176"/>
        <v>39.5</v>
      </c>
      <c r="M188" s="451"/>
      <c r="N188" s="483">
        <f>+O188+P188</f>
        <v>6.7000000000000028</v>
      </c>
      <c r="O188" s="451"/>
      <c r="P188" s="451">
        <f>+S188-I188</f>
        <v>6.7000000000000028</v>
      </c>
      <c r="Q188" s="466">
        <v>1031.2</v>
      </c>
      <c r="R188" s="451">
        <v>974.5</v>
      </c>
      <c r="S188" s="451">
        <v>56.7</v>
      </c>
      <c r="T188" s="451"/>
      <c r="U188" s="451">
        <f t="shared" si="171"/>
        <v>1031.2</v>
      </c>
      <c r="V188" s="451">
        <f t="shared" si="172"/>
        <v>974.5</v>
      </c>
      <c r="W188" s="451">
        <f t="shared" si="172"/>
        <v>56.7</v>
      </c>
      <c r="X188" s="445">
        <f t="shared" si="157"/>
        <v>0</v>
      </c>
      <c r="Y188" s="451"/>
      <c r="Z188" s="451"/>
      <c r="AA188" s="451"/>
      <c r="AB188" s="483"/>
      <c r="AC188" s="483"/>
      <c r="AD188" s="451">
        <f t="shared" ref="AD188:AD189" si="177">+AE188+AF188</f>
        <v>1031.2</v>
      </c>
      <c r="AE188" s="483">
        <v>974.5</v>
      </c>
      <c r="AF188" s="483">
        <v>56.7</v>
      </c>
      <c r="AG188" s="451"/>
      <c r="AH188" s="483"/>
      <c r="AI188" s="483"/>
      <c r="AJ188" s="451"/>
      <c r="AK188" s="451"/>
      <c r="AL188" s="15"/>
    </row>
    <row r="189" spans="1:41" ht="30" hidden="1">
      <c r="A189" s="8">
        <f t="shared" si="174"/>
        <v>9</v>
      </c>
      <c r="B189" s="328" t="s">
        <v>378</v>
      </c>
      <c r="C189" s="8" t="s">
        <v>379</v>
      </c>
      <c r="D189" s="8"/>
      <c r="E189" s="8" t="s">
        <v>380</v>
      </c>
      <c r="F189" s="8" t="s">
        <v>54</v>
      </c>
      <c r="G189" s="445">
        <f t="shared" si="156"/>
        <v>504</v>
      </c>
      <c r="H189" s="445">
        <v>480</v>
      </c>
      <c r="I189" s="445">
        <v>24</v>
      </c>
      <c r="J189" s="451">
        <v>0</v>
      </c>
      <c r="K189" s="483">
        <f t="shared" si="175"/>
        <v>324.10000000000002</v>
      </c>
      <c r="L189" s="451">
        <f t="shared" si="176"/>
        <v>310</v>
      </c>
      <c r="M189" s="451">
        <f t="shared" si="176"/>
        <v>14.1</v>
      </c>
      <c r="N189" s="483"/>
      <c r="O189" s="451"/>
      <c r="P189" s="451"/>
      <c r="Q189" s="466">
        <v>179.9</v>
      </c>
      <c r="R189" s="451">
        <v>170</v>
      </c>
      <c r="S189" s="451">
        <v>9.9</v>
      </c>
      <c r="T189" s="451"/>
      <c r="U189" s="451">
        <f t="shared" si="171"/>
        <v>179.9</v>
      </c>
      <c r="V189" s="451">
        <f t="shared" si="172"/>
        <v>170</v>
      </c>
      <c r="W189" s="451">
        <f t="shared" si="172"/>
        <v>9.9</v>
      </c>
      <c r="X189" s="445">
        <f t="shared" si="157"/>
        <v>0</v>
      </c>
      <c r="Y189" s="451"/>
      <c r="Z189" s="451"/>
      <c r="AA189" s="451"/>
      <c r="AB189" s="483"/>
      <c r="AC189" s="483"/>
      <c r="AD189" s="451">
        <f t="shared" si="177"/>
        <v>179.9</v>
      </c>
      <c r="AE189" s="483">
        <v>170</v>
      </c>
      <c r="AF189" s="483">
        <v>9.9</v>
      </c>
      <c r="AG189" s="451"/>
      <c r="AH189" s="483"/>
      <c r="AI189" s="483"/>
      <c r="AJ189" s="451"/>
      <c r="AK189" s="451"/>
      <c r="AL189" s="15"/>
    </row>
    <row r="190" spans="1:41" ht="30" hidden="1">
      <c r="A190" s="8">
        <f t="shared" si="174"/>
        <v>10</v>
      </c>
      <c r="B190" s="327" t="s">
        <v>937</v>
      </c>
      <c r="C190" s="8" t="s">
        <v>381</v>
      </c>
      <c r="D190" s="8"/>
      <c r="E190" s="8" t="s">
        <v>382</v>
      </c>
      <c r="F190" s="8" t="s">
        <v>54</v>
      </c>
      <c r="G190" s="445">
        <f t="shared" si="156"/>
        <v>169.5</v>
      </c>
      <c r="H190" s="445">
        <v>160</v>
      </c>
      <c r="I190" s="445">
        <v>9.5</v>
      </c>
      <c r="J190" s="451">
        <v>0</v>
      </c>
      <c r="K190" s="483">
        <f t="shared" si="170"/>
        <v>0</v>
      </c>
      <c r="L190" s="451"/>
      <c r="M190" s="451"/>
      <c r="N190" s="483"/>
      <c r="O190" s="451"/>
      <c r="P190" s="451"/>
      <c r="Q190" s="466">
        <v>169.5</v>
      </c>
      <c r="R190" s="451">
        <v>160</v>
      </c>
      <c r="S190" s="451">
        <v>9.5</v>
      </c>
      <c r="T190" s="451"/>
      <c r="U190" s="451">
        <f t="shared" si="171"/>
        <v>0</v>
      </c>
      <c r="V190" s="451">
        <f t="shared" si="172"/>
        <v>0</v>
      </c>
      <c r="W190" s="451">
        <f t="shared" si="172"/>
        <v>0</v>
      </c>
      <c r="X190" s="445">
        <f t="shared" si="157"/>
        <v>0</v>
      </c>
      <c r="Y190" s="451"/>
      <c r="Z190" s="451"/>
      <c r="AA190" s="451"/>
      <c r="AB190" s="483"/>
      <c r="AC190" s="483"/>
      <c r="AD190" s="451"/>
      <c r="AE190" s="483"/>
      <c r="AF190" s="483"/>
      <c r="AG190" s="451">
        <f t="shared" ref="AG190:AG194" si="178">+AH190+AI190</f>
        <v>169.5</v>
      </c>
      <c r="AH190" s="445">
        <v>160</v>
      </c>
      <c r="AI190" s="445">
        <v>9.5</v>
      </c>
      <c r="AJ190" s="451"/>
      <c r="AK190" s="451"/>
      <c r="AL190" s="15"/>
    </row>
    <row r="191" spans="1:41" ht="30" hidden="1">
      <c r="A191" s="8">
        <f t="shared" si="174"/>
        <v>11</v>
      </c>
      <c r="B191" s="328" t="s">
        <v>383</v>
      </c>
      <c r="C191" s="8" t="s">
        <v>384</v>
      </c>
      <c r="D191" s="8"/>
      <c r="E191" s="8" t="s">
        <v>385</v>
      </c>
      <c r="F191" s="8" t="s">
        <v>54</v>
      </c>
      <c r="G191" s="445">
        <f t="shared" si="156"/>
        <v>420</v>
      </c>
      <c r="H191" s="445">
        <v>400</v>
      </c>
      <c r="I191" s="445">
        <v>20</v>
      </c>
      <c r="J191" s="451">
        <v>0</v>
      </c>
      <c r="K191" s="483">
        <f t="shared" si="170"/>
        <v>0</v>
      </c>
      <c r="L191" s="451"/>
      <c r="M191" s="451"/>
      <c r="N191" s="483"/>
      <c r="O191" s="451"/>
      <c r="P191" s="451"/>
      <c r="Q191" s="466">
        <v>420</v>
      </c>
      <c r="R191" s="451">
        <v>400</v>
      </c>
      <c r="S191" s="451">
        <v>20</v>
      </c>
      <c r="T191" s="451"/>
      <c r="U191" s="451">
        <f t="shared" si="171"/>
        <v>0</v>
      </c>
      <c r="V191" s="451">
        <f t="shared" si="172"/>
        <v>0</v>
      </c>
      <c r="W191" s="451">
        <f t="shared" si="172"/>
        <v>0</v>
      </c>
      <c r="X191" s="445">
        <f t="shared" si="157"/>
        <v>0</v>
      </c>
      <c r="Y191" s="451"/>
      <c r="Z191" s="451"/>
      <c r="AA191" s="451"/>
      <c r="AB191" s="483"/>
      <c r="AC191" s="483"/>
      <c r="AD191" s="451"/>
      <c r="AE191" s="483"/>
      <c r="AF191" s="483"/>
      <c r="AG191" s="451">
        <f t="shared" si="178"/>
        <v>420</v>
      </c>
      <c r="AH191" s="445">
        <v>400</v>
      </c>
      <c r="AI191" s="445">
        <v>20</v>
      </c>
      <c r="AJ191" s="451"/>
      <c r="AK191" s="451"/>
      <c r="AL191" s="15"/>
    </row>
    <row r="192" spans="1:41" ht="45" hidden="1">
      <c r="A192" s="8">
        <f t="shared" si="174"/>
        <v>12</v>
      </c>
      <c r="B192" s="328" t="s">
        <v>386</v>
      </c>
      <c r="C192" s="8" t="s">
        <v>384</v>
      </c>
      <c r="D192" s="8"/>
      <c r="E192" s="8" t="s">
        <v>387</v>
      </c>
      <c r="F192" s="27" t="s">
        <v>55</v>
      </c>
      <c r="G192" s="445">
        <f t="shared" si="156"/>
        <v>414.89</v>
      </c>
      <c r="H192" s="445">
        <v>394.89</v>
      </c>
      <c r="I192" s="445">
        <v>20</v>
      </c>
      <c r="J192" s="451">
        <v>0</v>
      </c>
      <c r="K192" s="483">
        <f t="shared" si="170"/>
        <v>0</v>
      </c>
      <c r="L192" s="451"/>
      <c r="M192" s="451"/>
      <c r="N192" s="483"/>
      <c r="O192" s="451"/>
      <c r="P192" s="451"/>
      <c r="Q192" s="466">
        <v>414.89</v>
      </c>
      <c r="R192" s="451">
        <v>394.89</v>
      </c>
      <c r="S192" s="451">
        <v>20</v>
      </c>
      <c r="T192" s="451"/>
      <c r="U192" s="451">
        <f t="shared" si="171"/>
        <v>0</v>
      </c>
      <c r="V192" s="451">
        <f t="shared" si="172"/>
        <v>0</v>
      </c>
      <c r="W192" s="451">
        <f t="shared" si="172"/>
        <v>0</v>
      </c>
      <c r="X192" s="445">
        <f t="shared" si="157"/>
        <v>0</v>
      </c>
      <c r="Y192" s="451"/>
      <c r="Z192" s="451"/>
      <c r="AA192" s="451"/>
      <c r="AB192" s="483"/>
      <c r="AC192" s="483"/>
      <c r="AD192" s="451"/>
      <c r="AE192" s="483"/>
      <c r="AF192" s="483"/>
      <c r="AG192" s="451">
        <f t="shared" si="178"/>
        <v>414.89</v>
      </c>
      <c r="AH192" s="445">
        <v>394.89</v>
      </c>
      <c r="AI192" s="445">
        <v>20</v>
      </c>
      <c r="AJ192" s="451"/>
      <c r="AK192" s="451"/>
      <c r="AL192" s="15"/>
    </row>
    <row r="193" spans="1:41" ht="45" hidden="1">
      <c r="A193" s="8">
        <f t="shared" si="174"/>
        <v>13</v>
      </c>
      <c r="B193" s="328" t="s">
        <v>388</v>
      </c>
      <c r="C193" s="8" t="s">
        <v>379</v>
      </c>
      <c r="D193" s="8"/>
      <c r="E193" s="8" t="s">
        <v>389</v>
      </c>
      <c r="F193" s="27" t="s">
        <v>55</v>
      </c>
      <c r="G193" s="445">
        <f t="shared" si="156"/>
        <v>559</v>
      </c>
      <c r="H193" s="445">
        <v>532</v>
      </c>
      <c r="I193" s="445">
        <v>27</v>
      </c>
      <c r="J193" s="451">
        <v>0</v>
      </c>
      <c r="K193" s="483">
        <f t="shared" si="170"/>
        <v>0</v>
      </c>
      <c r="L193" s="451"/>
      <c r="M193" s="451"/>
      <c r="N193" s="483"/>
      <c r="O193" s="451"/>
      <c r="P193" s="451"/>
      <c r="Q193" s="466">
        <v>559</v>
      </c>
      <c r="R193" s="451">
        <v>532</v>
      </c>
      <c r="S193" s="451">
        <v>27</v>
      </c>
      <c r="T193" s="451"/>
      <c r="U193" s="451">
        <f t="shared" si="171"/>
        <v>0</v>
      </c>
      <c r="V193" s="451">
        <f t="shared" si="172"/>
        <v>0</v>
      </c>
      <c r="W193" s="451">
        <f t="shared" si="172"/>
        <v>0</v>
      </c>
      <c r="X193" s="445">
        <f t="shared" si="157"/>
        <v>0</v>
      </c>
      <c r="Y193" s="451"/>
      <c r="Z193" s="451"/>
      <c r="AA193" s="451"/>
      <c r="AB193" s="483"/>
      <c r="AC193" s="483"/>
      <c r="AD193" s="451"/>
      <c r="AE193" s="483"/>
      <c r="AF193" s="483"/>
      <c r="AG193" s="451">
        <f t="shared" si="178"/>
        <v>559</v>
      </c>
      <c r="AH193" s="445">
        <v>532</v>
      </c>
      <c r="AI193" s="445">
        <v>27</v>
      </c>
      <c r="AJ193" s="451"/>
      <c r="AK193" s="451"/>
      <c r="AL193" s="15"/>
    </row>
    <row r="194" spans="1:41" ht="45" hidden="1">
      <c r="A194" s="8">
        <f t="shared" si="174"/>
        <v>14</v>
      </c>
      <c r="B194" s="328" t="s">
        <v>390</v>
      </c>
      <c r="C194" s="8" t="s">
        <v>384</v>
      </c>
      <c r="D194" s="8"/>
      <c r="E194" s="8" t="s">
        <v>391</v>
      </c>
      <c r="F194" s="27" t="s">
        <v>55</v>
      </c>
      <c r="G194" s="445">
        <f t="shared" si="156"/>
        <v>1050</v>
      </c>
      <c r="H194" s="445">
        <v>1000</v>
      </c>
      <c r="I194" s="445">
        <v>50</v>
      </c>
      <c r="J194" s="451">
        <v>0</v>
      </c>
      <c r="K194" s="483">
        <f t="shared" si="170"/>
        <v>0</v>
      </c>
      <c r="L194" s="451"/>
      <c r="M194" s="451"/>
      <c r="N194" s="483"/>
      <c r="O194" s="451"/>
      <c r="P194" s="451"/>
      <c r="Q194" s="466">
        <v>1050</v>
      </c>
      <c r="R194" s="451">
        <v>1000</v>
      </c>
      <c r="S194" s="451">
        <v>50</v>
      </c>
      <c r="T194" s="451"/>
      <c r="U194" s="451">
        <f t="shared" si="171"/>
        <v>0</v>
      </c>
      <c r="V194" s="451">
        <f t="shared" si="172"/>
        <v>0</v>
      </c>
      <c r="W194" s="451">
        <f t="shared" si="172"/>
        <v>0</v>
      </c>
      <c r="X194" s="445">
        <f t="shared" si="157"/>
        <v>0</v>
      </c>
      <c r="Y194" s="451"/>
      <c r="Z194" s="451"/>
      <c r="AA194" s="451"/>
      <c r="AB194" s="483"/>
      <c r="AC194" s="483"/>
      <c r="AD194" s="451"/>
      <c r="AE194" s="483"/>
      <c r="AF194" s="483"/>
      <c r="AG194" s="451">
        <f t="shared" si="178"/>
        <v>1050</v>
      </c>
      <c r="AH194" s="445">
        <v>1000</v>
      </c>
      <c r="AI194" s="445">
        <v>50</v>
      </c>
      <c r="AJ194" s="451"/>
      <c r="AK194" s="451"/>
      <c r="AL194" s="15"/>
    </row>
    <row r="195" spans="1:41" ht="30" hidden="1">
      <c r="A195" s="8">
        <f t="shared" si="174"/>
        <v>15</v>
      </c>
      <c r="B195" s="328" t="s">
        <v>1132</v>
      </c>
      <c r="C195" s="8" t="s">
        <v>369</v>
      </c>
      <c r="D195" s="8"/>
      <c r="E195" s="8"/>
      <c r="F195" s="27" t="s">
        <v>55</v>
      </c>
      <c r="G195" s="445"/>
      <c r="H195" s="445"/>
      <c r="I195" s="445"/>
      <c r="J195" s="451"/>
      <c r="K195" s="483"/>
      <c r="L195" s="451"/>
      <c r="M195" s="451"/>
      <c r="N195" s="466">
        <v>605.28</v>
      </c>
      <c r="O195" s="451">
        <v>593.17999999999995</v>
      </c>
      <c r="P195" s="451">
        <v>12.1</v>
      </c>
      <c r="Q195" s="466">
        <v>605.28</v>
      </c>
      <c r="R195" s="451">
        <v>593.17999999999995</v>
      </c>
      <c r="S195" s="451">
        <v>12.1</v>
      </c>
      <c r="T195" s="451"/>
      <c r="U195" s="451"/>
      <c r="V195" s="451"/>
      <c r="W195" s="451"/>
      <c r="X195" s="445"/>
      <c r="Y195" s="451"/>
      <c r="Z195" s="451"/>
      <c r="AA195" s="451"/>
      <c r="AB195" s="483"/>
      <c r="AC195" s="483"/>
      <c r="AD195" s="451"/>
      <c r="AE195" s="483"/>
      <c r="AF195" s="483"/>
      <c r="AG195" s="451">
        <f>+AH195+AI195</f>
        <v>605.28</v>
      </c>
      <c r="AH195" s="483">
        <v>593.17999999999995</v>
      </c>
      <c r="AI195" s="483">
        <v>12.1</v>
      </c>
      <c r="AJ195" s="451"/>
      <c r="AK195" s="451"/>
      <c r="AL195" s="15"/>
    </row>
    <row r="196" spans="1:41" ht="30" hidden="1">
      <c r="A196" s="8">
        <f t="shared" si="174"/>
        <v>16</v>
      </c>
      <c r="B196" s="328" t="s">
        <v>1133</v>
      </c>
      <c r="C196" s="8" t="s">
        <v>361</v>
      </c>
      <c r="D196" s="8"/>
      <c r="E196" s="8"/>
      <c r="F196" s="27" t="s">
        <v>55</v>
      </c>
      <c r="G196" s="445"/>
      <c r="H196" s="445"/>
      <c r="I196" s="445"/>
      <c r="J196" s="451"/>
      <c r="K196" s="483"/>
      <c r="L196" s="451"/>
      <c r="M196" s="451"/>
      <c r="N196" s="466">
        <v>470.55</v>
      </c>
      <c r="O196" s="451">
        <v>462.16</v>
      </c>
      <c r="P196" s="451">
        <v>8.39</v>
      </c>
      <c r="Q196" s="466">
        <v>470.55</v>
      </c>
      <c r="R196" s="451">
        <v>462.16</v>
      </c>
      <c r="S196" s="451">
        <v>8.39</v>
      </c>
      <c r="T196" s="451"/>
      <c r="U196" s="451"/>
      <c r="V196" s="451"/>
      <c r="W196" s="451"/>
      <c r="X196" s="445"/>
      <c r="Y196" s="451"/>
      <c r="Z196" s="451"/>
      <c r="AA196" s="451"/>
      <c r="AB196" s="483"/>
      <c r="AC196" s="483"/>
      <c r="AD196" s="451"/>
      <c r="AE196" s="483"/>
      <c r="AF196" s="483"/>
      <c r="AG196" s="451">
        <f>+AH196+AI196</f>
        <v>470.55</v>
      </c>
      <c r="AH196" s="483">
        <v>462.16</v>
      </c>
      <c r="AI196" s="483">
        <v>8.39</v>
      </c>
      <c r="AJ196" s="451"/>
      <c r="AK196" s="451"/>
      <c r="AL196" s="15"/>
    </row>
    <row r="197" spans="1:41" s="14" customFormat="1" ht="23.25" customHeight="1">
      <c r="A197" s="4" t="s">
        <v>999</v>
      </c>
      <c r="B197" s="416" t="s">
        <v>393</v>
      </c>
      <c r="C197" s="418"/>
      <c r="D197" s="418"/>
      <c r="E197" s="417">
        <v>0</v>
      </c>
      <c r="F197" s="417"/>
      <c r="G197" s="446">
        <f>SUM(G198:G216)</f>
        <v>10113.950000000001</v>
      </c>
      <c r="H197" s="446">
        <f>SUM(H198:H216)</f>
        <v>9632.9500000000007</v>
      </c>
      <c r="I197" s="446">
        <f>SUM(I198:I216)</f>
        <v>481</v>
      </c>
      <c r="J197" s="446">
        <f>SUM(J198:J216)</f>
        <v>0</v>
      </c>
      <c r="K197" s="446">
        <f t="shared" ref="K197:AI197" si="179">SUM(K198:K216)</f>
        <v>43.890239999999949</v>
      </c>
      <c r="L197" s="446">
        <f t="shared" si="179"/>
        <v>18.505039999999951</v>
      </c>
      <c r="M197" s="446">
        <f t="shared" si="179"/>
        <v>25.385200000000001</v>
      </c>
      <c r="N197" s="446">
        <f t="shared" si="179"/>
        <v>43.890239999999963</v>
      </c>
      <c r="O197" s="446">
        <f t="shared" si="179"/>
        <v>31.305039999999963</v>
      </c>
      <c r="P197" s="446">
        <f t="shared" si="179"/>
        <v>12.5852</v>
      </c>
      <c r="Q197" s="446">
        <f t="shared" si="179"/>
        <v>10113.950000000001</v>
      </c>
      <c r="R197" s="446">
        <f t="shared" si="179"/>
        <v>9632.9500000000007</v>
      </c>
      <c r="S197" s="446">
        <f t="shared" si="179"/>
        <v>480.99999999999994</v>
      </c>
      <c r="T197" s="446">
        <f t="shared" si="179"/>
        <v>0</v>
      </c>
      <c r="U197" s="446">
        <f t="shared" si="179"/>
        <v>6854.0990599999996</v>
      </c>
      <c r="V197" s="446">
        <f t="shared" si="179"/>
        <v>6507.334960000001</v>
      </c>
      <c r="W197" s="446">
        <f t="shared" si="179"/>
        <v>346.76409999999993</v>
      </c>
      <c r="X197" s="446">
        <f t="shared" si="179"/>
        <v>2066.75</v>
      </c>
      <c r="Y197" s="446">
        <f t="shared" si="179"/>
        <v>1983.75</v>
      </c>
      <c r="Z197" s="446">
        <f t="shared" si="179"/>
        <v>83</v>
      </c>
      <c r="AA197" s="446">
        <f t="shared" si="179"/>
        <v>2304.34906</v>
      </c>
      <c r="AB197" s="446">
        <f t="shared" si="179"/>
        <v>2177.0849600000001</v>
      </c>
      <c r="AC197" s="446">
        <f t="shared" si="179"/>
        <v>127.2641</v>
      </c>
      <c r="AD197" s="446">
        <f t="shared" si="179"/>
        <v>2483</v>
      </c>
      <c r="AE197" s="446">
        <f t="shared" si="179"/>
        <v>2346.5</v>
      </c>
      <c r="AF197" s="446">
        <f t="shared" si="179"/>
        <v>136.5</v>
      </c>
      <c r="AG197" s="446">
        <f t="shared" si="179"/>
        <v>3259.8509399999998</v>
      </c>
      <c r="AH197" s="446">
        <f t="shared" si="179"/>
        <v>3125.6150399999997</v>
      </c>
      <c r="AI197" s="446">
        <f t="shared" si="179"/>
        <v>134.23590000000002</v>
      </c>
      <c r="AJ197" s="446"/>
      <c r="AK197" s="446">
        <f>SUM(AK198:AK216)</f>
        <v>190</v>
      </c>
      <c r="AL197" s="16"/>
      <c r="AM197" s="368">
        <f>+'NĂM 2022'!K67+'NĂM 2023'!N78+'NĂM 2024'!J74+'NĂM 2025'!J67</f>
        <v>10113.950000000001</v>
      </c>
      <c r="AN197" s="368">
        <f>+'NĂM 2022'!L67+'NĂM 2023'!O78+'NĂM 2024'!K74+'NĂM 2025'!K67</f>
        <v>9632.9500000000007</v>
      </c>
      <c r="AO197" s="368">
        <f>+'NĂM 2022'!M67+'NĂM 2023'!P78+'NĂM 2024'!L74+'NĂM 2025'!L67</f>
        <v>481</v>
      </c>
    </row>
    <row r="198" spans="1:41" s="146" customFormat="1" ht="30" hidden="1">
      <c r="A198" s="141">
        <v>1</v>
      </c>
      <c r="B198" s="337" t="s">
        <v>394</v>
      </c>
      <c r="C198" s="157" t="s">
        <v>395</v>
      </c>
      <c r="D198" s="157"/>
      <c r="E198" s="141" t="s">
        <v>396</v>
      </c>
      <c r="F198" s="158" t="s">
        <v>52</v>
      </c>
      <c r="G198" s="447">
        <f t="shared" si="156"/>
        <v>1047</v>
      </c>
      <c r="H198" s="447">
        <v>997</v>
      </c>
      <c r="I198" s="447">
        <v>50</v>
      </c>
      <c r="J198" s="448">
        <v>0</v>
      </c>
      <c r="K198" s="483">
        <f>+G198-Q198</f>
        <v>0</v>
      </c>
      <c r="L198" s="448"/>
      <c r="M198" s="448"/>
      <c r="N198" s="483"/>
      <c r="O198" s="448"/>
      <c r="P198" s="448"/>
      <c r="Q198" s="466">
        <f>+R198+S198</f>
        <v>1047</v>
      </c>
      <c r="R198" s="448">
        <v>997</v>
      </c>
      <c r="S198" s="448">
        <v>50</v>
      </c>
      <c r="T198" s="448"/>
      <c r="U198" s="448">
        <f>+V198+W198</f>
        <v>1047</v>
      </c>
      <c r="V198" s="448">
        <f>+Y198+AB198+AE198</f>
        <v>997</v>
      </c>
      <c r="W198" s="448">
        <f>+Z198+AC198+AF198</f>
        <v>50</v>
      </c>
      <c r="X198" s="445">
        <f t="shared" si="157"/>
        <v>1047</v>
      </c>
      <c r="Y198" s="447">
        <v>997</v>
      </c>
      <c r="Z198" s="447">
        <v>50</v>
      </c>
      <c r="AA198" s="447"/>
      <c r="AB198" s="481"/>
      <c r="AC198" s="481"/>
      <c r="AD198" s="447"/>
      <c r="AE198" s="481"/>
      <c r="AF198" s="481"/>
      <c r="AG198" s="447"/>
      <c r="AH198" s="481"/>
      <c r="AI198" s="481"/>
      <c r="AJ198" s="447"/>
      <c r="AK198" s="448"/>
      <c r="AL198" s="145"/>
      <c r="AM198" s="523">
        <f>+G197-U197</f>
        <v>3259.8509400000012</v>
      </c>
      <c r="AN198" s="523">
        <f>+H197-V197</f>
        <v>3125.6150399999997</v>
      </c>
      <c r="AO198" s="523">
        <f>+I197-W197</f>
        <v>134.23590000000007</v>
      </c>
    </row>
    <row r="199" spans="1:41" s="146" customFormat="1" ht="60" hidden="1">
      <c r="A199" s="141">
        <v>2</v>
      </c>
      <c r="B199" s="337" t="s">
        <v>397</v>
      </c>
      <c r="C199" s="157" t="s">
        <v>398</v>
      </c>
      <c r="D199" s="157"/>
      <c r="E199" s="150" t="s">
        <v>399</v>
      </c>
      <c r="F199" s="158" t="s">
        <v>52</v>
      </c>
      <c r="G199" s="447">
        <f t="shared" si="156"/>
        <v>701</v>
      </c>
      <c r="H199" s="447">
        <v>668</v>
      </c>
      <c r="I199" s="447">
        <v>33</v>
      </c>
      <c r="J199" s="448">
        <v>0</v>
      </c>
      <c r="K199" s="483">
        <f t="shared" ref="K199:K216" si="180">+G199-Q199</f>
        <v>0</v>
      </c>
      <c r="L199" s="448"/>
      <c r="M199" s="448"/>
      <c r="N199" s="483"/>
      <c r="O199" s="448"/>
      <c r="P199" s="448"/>
      <c r="Q199" s="466">
        <f t="shared" ref="Q199:Q216" si="181">+R199+S199</f>
        <v>701</v>
      </c>
      <c r="R199" s="448">
        <v>668</v>
      </c>
      <c r="S199" s="448">
        <v>33</v>
      </c>
      <c r="T199" s="448"/>
      <c r="U199" s="448">
        <f t="shared" ref="U199:U216" si="182">+V199+W199</f>
        <v>701</v>
      </c>
      <c r="V199" s="448">
        <f t="shared" ref="V199:W216" si="183">+Y199+AB199+AE199</f>
        <v>668</v>
      </c>
      <c r="W199" s="448">
        <f t="shared" si="183"/>
        <v>33</v>
      </c>
      <c r="X199" s="445">
        <f t="shared" si="157"/>
        <v>701</v>
      </c>
      <c r="Y199" s="447">
        <v>668</v>
      </c>
      <c r="Z199" s="447">
        <v>33</v>
      </c>
      <c r="AA199" s="447"/>
      <c r="AB199" s="481"/>
      <c r="AC199" s="481"/>
      <c r="AD199" s="447"/>
      <c r="AE199" s="481"/>
      <c r="AF199" s="481"/>
      <c r="AG199" s="447"/>
      <c r="AH199" s="481"/>
      <c r="AI199" s="481"/>
      <c r="AJ199" s="447"/>
      <c r="AK199" s="448"/>
      <c r="AL199" s="145"/>
      <c r="AM199" s="525">
        <f>+AM198-AG197</f>
        <v>0</v>
      </c>
      <c r="AN199" s="525">
        <f t="shared" ref="AN199:AO199" si="184">+AN198-AH197</f>
        <v>0</v>
      </c>
      <c r="AO199" s="524">
        <f t="shared" si="184"/>
        <v>0</v>
      </c>
    </row>
    <row r="200" spans="1:41" s="146" customFormat="1" ht="30" hidden="1">
      <c r="A200" s="141">
        <v>3</v>
      </c>
      <c r="B200" s="337" t="s">
        <v>400</v>
      </c>
      <c r="C200" s="157" t="s">
        <v>401</v>
      </c>
      <c r="D200" s="157"/>
      <c r="E200" s="141" t="s">
        <v>402</v>
      </c>
      <c r="F200" s="158" t="s">
        <v>52</v>
      </c>
      <c r="G200" s="447">
        <f t="shared" si="156"/>
        <v>399</v>
      </c>
      <c r="H200" s="447">
        <v>380</v>
      </c>
      <c r="I200" s="447">
        <v>19</v>
      </c>
      <c r="J200" s="448">
        <v>0</v>
      </c>
      <c r="K200" s="483">
        <f>+L200+M200</f>
        <v>5.0610999999999997</v>
      </c>
      <c r="L200" s="448">
        <f>+H200-R200</f>
        <v>0</v>
      </c>
      <c r="M200" s="448">
        <f>+I200-S200</f>
        <v>5.0610999999999997</v>
      </c>
      <c r="N200" s="483"/>
      <c r="O200" s="448"/>
      <c r="P200" s="448"/>
      <c r="Q200" s="466">
        <f t="shared" si="181"/>
        <v>393.93889999999999</v>
      </c>
      <c r="R200" s="448">
        <v>380</v>
      </c>
      <c r="S200" s="448">
        <v>13.9389</v>
      </c>
      <c r="T200" s="448"/>
      <c r="U200" s="448">
        <f t="shared" si="182"/>
        <v>393.93889999999999</v>
      </c>
      <c r="V200" s="448">
        <f t="shared" si="183"/>
        <v>380</v>
      </c>
      <c r="W200" s="448">
        <f t="shared" si="183"/>
        <v>13.9389</v>
      </c>
      <c r="X200" s="445">
        <f>+Y200+Z200</f>
        <v>318.75</v>
      </c>
      <c r="Y200" s="447">
        <v>318.75</v>
      </c>
      <c r="Z200" s="447">
        <v>0</v>
      </c>
      <c r="AA200" s="447">
        <f>+AB200+AC200</f>
        <v>75.188900000000004</v>
      </c>
      <c r="AB200" s="481">
        <v>61.25</v>
      </c>
      <c r="AC200" s="481">
        <f>19-5.0611</f>
        <v>13.9389</v>
      </c>
      <c r="AD200" s="447"/>
      <c r="AE200" s="481"/>
      <c r="AF200" s="481"/>
      <c r="AG200" s="447"/>
      <c r="AH200" s="481"/>
      <c r="AI200" s="481"/>
      <c r="AJ200" s="447"/>
      <c r="AK200" s="448"/>
      <c r="AL200" s="145"/>
      <c r="AM200" s="369"/>
      <c r="AN200" s="369"/>
      <c r="AO200" s="369"/>
    </row>
    <row r="201" spans="1:41" s="146" customFormat="1" ht="60" hidden="1">
      <c r="A201" s="141">
        <v>4</v>
      </c>
      <c r="B201" s="337" t="s">
        <v>403</v>
      </c>
      <c r="C201" s="157" t="s">
        <v>398</v>
      </c>
      <c r="D201" s="157"/>
      <c r="E201" s="150" t="s">
        <v>404</v>
      </c>
      <c r="F201" s="158" t="s">
        <v>53</v>
      </c>
      <c r="G201" s="447">
        <f t="shared" si="156"/>
        <v>448</v>
      </c>
      <c r="H201" s="447">
        <v>428</v>
      </c>
      <c r="I201" s="447">
        <v>20</v>
      </c>
      <c r="J201" s="448">
        <v>0</v>
      </c>
      <c r="K201" s="483">
        <f>+L201+M201</f>
        <v>5.5047000000000139</v>
      </c>
      <c r="L201" s="448">
        <f>+H201-R201</f>
        <v>5.5047000000000139</v>
      </c>
      <c r="M201" s="448">
        <f>+I201-S201</f>
        <v>0</v>
      </c>
      <c r="N201" s="483"/>
      <c r="O201" s="448"/>
      <c r="P201" s="448"/>
      <c r="Q201" s="466">
        <f t="shared" si="181"/>
        <v>442.49529999999999</v>
      </c>
      <c r="R201" s="448">
        <v>422.49529999999999</v>
      </c>
      <c r="S201" s="448">
        <v>20</v>
      </c>
      <c r="T201" s="448"/>
      <c r="U201" s="448">
        <f t="shared" si="182"/>
        <v>442.49529999999999</v>
      </c>
      <c r="V201" s="448">
        <f t="shared" si="183"/>
        <v>422.49529999999999</v>
      </c>
      <c r="W201" s="448">
        <f t="shared" si="183"/>
        <v>20</v>
      </c>
      <c r="X201" s="445">
        <f t="shared" si="157"/>
        <v>0</v>
      </c>
      <c r="Y201" s="448"/>
      <c r="Z201" s="448"/>
      <c r="AA201" s="448">
        <f>+AB201+AC201</f>
        <v>442.49529999999999</v>
      </c>
      <c r="AB201" s="483">
        <f>428-5.5047</f>
        <v>422.49529999999999</v>
      </c>
      <c r="AC201" s="483">
        <v>20</v>
      </c>
      <c r="AD201" s="448"/>
      <c r="AE201" s="483"/>
      <c r="AF201" s="483"/>
      <c r="AG201" s="448"/>
      <c r="AH201" s="483"/>
      <c r="AI201" s="483"/>
      <c r="AJ201" s="448"/>
      <c r="AK201" s="448"/>
      <c r="AL201" s="145"/>
      <c r="AM201" s="369"/>
      <c r="AN201" s="369"/>
      <c r="AO201" s="369"/>
    </row>
    <row r="202" spans="1:41" s="146" customFormat="1" ht="60" hidden="1">
      <c r="A202" s="141">
        <v>5</v>
      </c>
      <c r="B202" s="337" t="s">
        <v>405</v>
      </c>
      <c r="C202" s="157" t="s">
        <v>406</v>
      </c>
      <c r="D202" s="157"/>
      <c r="E202" s="150" t="s">
        <v>407</v>
      </c>
      <c r="F202" s="158" t="s">
        <v>53</v>
      </c>
      <c r="G202" s="447">
        <f t="shared" si="156"/>
        <v>340</v>
      </c>
      <c r="H202" s="447">
        <v>325</v>
      </c>
      <c r="I202" s="447">
        <v>15</v>
      </c>
      <c r="J202" s="448">
        <v>0</v>
      </c>
      <c r="K202" s="483">
        <f t="shared" si="180"/>
        <v>0</v>
      </c>
      <c r="L202" s="448"/>
      <c r="M202" s="448"/>
      <c r="N202" s="483"/>
      <c r="O202" s="448"/>
      <c r="P202" s="448"/>
      <c r="Q202" s="466">
        <f t="shared" si="181"/>
        <v>340</v>
      </c>
      <c r="R202" s="448">
        <v>325</v>
      </c>
      <c r="S202" s="448">
        <v>15</v>
      </c>
      <c r="T202" s="448"/>
      <c r="U202" s="448">
        <f t="shared" si="182"/>
        <v>340</v>
      </c>
      <c r="V202" s="448">
        <f t="shared" si="183"/>
        <v>325</v>
      </c>
      <c r="W202" s="448">
        <f t="shared" si="183"/>
        <v>15</v>
      </c>
      <c r="X202" s="445">
        <f t="shared" si="157"/>
        <v>0</v>
      </c>
      <c r="Y202" s="448"/>
      <c r="Z202" s="448"/>
      <c r="AA202" s="448">
        <f t="shared" ref="AA202:AA206" si="185">+AB202+AC202</f>
        <v>340</v>
      </c>
      <c r="AB202" s="483">
        <v>325</v>
      </c>
      <c r="AC202" s="483">
        <v>15</v>
      </c>
      <c r="AD202" s="448"/>
      <c r="AE202" s="483"/>
      <c r="AF202" s="483"/>
      <c r="AG202" s="448"/>
      <c r="AH202" s="483"/>
      <c r="AI202" s="483"/>
      <c r="AJ202" s="448"/>
      <c r="AK202" s="448"/>
      <c r="AL202" s="145"/>
      <c r="AM202" s="369"/>
      <c r="AN202" s="369"/>
      <c r="AO202" s="369"/>
    </row>
    <row r="203" spans="1:41" s="146" customFormat="1" ht="30" hidden="1">
      <c r="A203" s="141">
        <v>6</v>
      </c>
      <c r="B203" s="337" t="s">
        <v>408</v>
      </c>
      <c r="C203" s="157" t="s">
        <v>409</v>
      </c>
      <c r="D203" s="157"/>
      <c r="E203" s="141" t="s">
        <v>806</v>
      </c>
      <c r="F203" s="158" t="s">
        <v>53</v>
      </c>
      <c r="G203" s="447">
        <f t="shared" si="156"/>
        <v>499</v>
      </c>
      <c r="H203" s="447">
        <v>475</v>
      </c>
      <c r="I203" s="447">
        <v>24</v>
      </c>
      <c r="J203" s="448">
        <v>0</v>
      </c>
      <c r="K203" s="483">
        <f>+L203+M203</f>
        <v>13</v>
      </c>
      <c r="L203" s="448">
        <f>+H203-R203</f>
        <v>13</v>
      </c>
      <c r="M203" s="448"/>
      <c r="N203" s="483">
        <f>+O203+P203</f>
        <v>12.581299999999999</v>
      </c>
      <c r="O203" s="448"/>
      <c r="P203" s="448">
        <f>+S203-I203</f>
        <v>12.581299999999999</v>
      </c>
      <c r="Q203" s="466">
        <f t="shared" si="181"/>
        <v>498.5813</v>
      </c>
      <c r="R203" s="448">
        <v>462</v>
      </c>
      <c r="S203" s="448">
        <v>36.581299999999999</v>
      </c>
      <c r="T203" s="448"/>
      <c r="U203" s="448">
        <f t="shared" si="182"/>
        <v>498.5813</v>
      </c>
      <c r="V203" s="448">
        <f t="shared" si="183"/>
        <v>462</v>
      </c>
      <c r="W203" s="448">
        <f t="shared" si="183"/>
        <v>36.581299999999999</v>
      </c>
      <c r="X203" s="445">
        <f t="shared" si="157"/>
        <v>0</v>
      </c>
      <c r="Y203" s="448"/>
      <c r="Z203" s="448"/>
      <c r="AA203" s="448">
        <f t="shared" si="185"/>
        <v>180.38130000000001</v>
      </c>
      <c r="AB203" s="483">
        <v>161.30000000000001</v>
      </c>
      <c r="AC203" s="483">
        <f>19.51-0.4287</f>
        <v>19.081300000000002</v>
      </c>
      <c r="AD203" s="448">
        <f>+AE203+AF203</f>
        <v>318.2</v>
      </c>
      <c r="AE203" s="483">
        <v>300.7</v>
      </c>
      <c r="AF203" s="483">
        <v>17.5</v>
      </c>
      <c r="AG203" s="448"/>
      <c r="AH203" s="483"/>
      <c r="AI203" s="483"/>
      <c r="AJ203" s="448"/>
      <c r="AK203" s="448"/>
      <c r="AL203" s="145"/>
      <c r="AM203" s="369"/>
      <c r="AN203" s="369"/>
      <c r="AO203" s="369"/>
    </row>
    <row r="204" spans="1:41" s="146" customFormat="1" ht="60" hidden="1">
      <c r="A204" s="141">
        <v>7</v>
      </c>
      <c r="B204" s="337" t="s">
        <v>411</v>
      </c>
      <c r="C204" s="157" t="s">
        <v>412</v>
      </c>
      <c r="D204" s="157"/>
      <c r="E204" s="150" t="s">
        <v>413</v>
      </c>
      <c r="F204" s="158" t="s">
        <v>53</v>
      </c>
      <c r="G204" s="447">
        <f t="shared" si="156"/>
        <v>499</v>
      </c>
      <c r="H204" s="447">
        <v>475</v>
      </c>
      <c r="I204" s="447">
        <v>24</v>
      </c>
      <c r="J204" s="448">
        <v>0</v>
      </c>
      <c r="K204" s="483">
        <f t="shared" si="180"/>
        <v>0</v>
      </c>
      <c r="L204" s="448"/>
      <c r="M204" s="448"/>
      <c r="N204" s="483"/>
      <c r="O204" s="448"/>
      <c r="P204" s="448"/>
      <c r="Q204" s="466">
        <f t="shared" si="181"/>
        <v>499</v>
      </c>
      <c r="R204" s="448">
        <v>475</v>
      </c>
      <c r="S204" s="448">
        <v>24</v>
      </c>
      <c r="T204" s="448"/>
      <c r="U204" s="448">
        <f t="shared" si="182"/>
        <v>499</v>
      </c>
      <c r="V204" s="448">
        <f t="shared" si="183"/>
        <v>475</v>
      </c>
      <c r="W204" s="448">
        <f t="shared" si="183"/>
        <v>24</v>
      </c>
      <c r="X204" s="445">
        <f t="shared" si="157"/>
        <v>0</v>
      </c>
      <c r="Y204" s="448"/>
      <c r="Z204" s="448"/>
      <c r="AA204" s="448">
        <f t="shared" si="185"/>
        <v>499</v>
      </c>
      <c r="AB204" s="483">
        <v>475</v>
      </c>
      <c r="AC204" s="483">
        <v>24</v>
      </c>
      <c r="AD204" s="448"/>
      <c r="AE204" s="483"/>
      <c r="AF204" s="483"/>
      <c r="AG204" s="448"/>
      <c r="AH204" s="483"/>
      <c r="AI204" s="483"/>
      <c r="AJ204" s="448"/>
      <c r="AK204" s="448"/>
      <c r="AL204" s="145"/>
      <c r="AM204" s="369"/>
      <c r="AN204" s="369"/>
      <c r="AO204" s="369"/>
    </row>
    <row r="205" spans="1:41" s="146" customFormat="1" ht="75" hidden="1">
      <c r="A205" s="141">
        <v>8</v>
      </c>
      <c r="B205" s="337" t="s">
        <v>414</v>
      </c>
      <c r="C205" s="157" t="s">
        <v>415</v>
      </c>
      <c r="D205" s="157"/>
      <c r="E205" s="141" t="s">
        <v>208</v>
      </c>
      <c r="F205" s="158" t="s">
        <v>53</v>
      </c>
      <c r="G205" s="447">
        <f t="shared" si="156"/>
        <v>299</v>
      </c>
      <c r="H205" s="447">
        <v>285</v>
      </c>
      <c r="I205" s="447">
        <v>14</v>
      </c>
      <c r="J205" s="448">
        <v>0</v>
      </c>
      <c r="K205" s="483">
        <f t="shared" si="180"/>
        <v>0</v>
      </c>
      <c r="L205" s="448"/>
      <c r="M205" s="448"/>
      <c r="N205" s="483"/>
      <c r="O205" s="448"/>
      <c r="P205" s="448"/>
      <c r="Q205" s="466">
        <f t="shared" si="181"/>
        <v>299</v>
      </c>
      <c r="R205" s="448">
        <v>285</v>
      </c>
      <c r="S205" s="448">
        <v>14</v>
      </c>
      <c r="T205" s="448"/>
      <c r="U205" s="448">
        <f t="shared" si="182"/>
        <v>299</v>
      </c>
      <c r="V205" s="448">
        <f t="shared" si="183"/>
        <v>285</v>
      </c>
      <c r="W205" s="448">
        <f t="shared" si="183"/>
        <v>14</v>
      </c>
      <c r="X205" s="445">
        <f t="shared" si="157"/>
        <v>0</v>
      </c>
      <c r="Y205" s="448"/>
      <c r="Z205" s="448"/>
      <c r="AA205" s="448">
        <f t="shared" si="185"/>
        <v>299</v>
      </c>
      <c r="AB205" s="483">
        <v>285</v>
      </c>
      <c r="AC205" s="483">
        <v>14</v>
      </c>
      <c r="AD205" s="448"/>
      <c r="AE205" s="483"/>
      <c r="AF205" s="483"/>
      <c r="AG205" s="448"/>
      <c r="AH205" s="483"/>
      <c r="AI205" s="483"/>
      <c r="AJ205" s="448"/>
      <c r="AK205" s="448"/>
      <c r="AL205" s="145"/>
      <c r="AM205" s="369"/>
      <c r="AN205" s="369"/>
      <c r="AO205" s="369"/>
    </row>
    <row r="206" spans="1:41" s="146" customFormat="1" ht="60" hidden="1">
      <c r="A206" s="141">
        <v>9</v>
      </c>
      <c r="B206" s="337" t="s">
        <v>416</v>
      </c>
      <c r="C206" s="157" t="s">
        <v>401</v>
      </c>
      <c r="D206" s="157"/>
      <c r="E206" s="150" t="s">
        <v>417</v>
      </c>
      <c r="F206" s="158" t="s">
        <v>53</v>
      </c>
      <c r="G206" s="447">
        <f t="shared" si="156"/>
        <v>683</v>
      </c>
      <c r="H206" s="447">
        <v>650</v>
      </c>
      <c r="I206" s="447">
        <v>33</v>
      </c>
      <c r="J206" s="448">
        <v>0</v>
      </c>
      <c r="K206" s="546">
        <f>+L206+M206</f>
        <v>3.3999999993739038E-4</v>
      </c>
      <c r="L206" s="530">
        <f>+H206-R206</f>
        <v>3.3999999993739038E-4</v>
      </c>
      <c r="M206" s="448"/>
      <c r="N206" s="546">
        <f>+O206+P206</f>
        <v>3.9000000000015689E-3</v>
      </c>
      <c r="O206" s="547"/>
      <c r="P206" s="547">
        <f>+S206-I206</f>
        <v>3.9000000000015689E-3</v>
      </c>
      <c r="Q206" s="466">
        <f t="shared" si="181"/>
        <v>683.00356000000011</v>
      </c>
      <c r="R206" s="448">
        <v>649.99966000000006</v>
      </c>
      <c r="S206" s="448">
        <v>33.003900000000002</v>
      </c>
      <c r="T206" s="448"/>
      <c r="U206" s="448">
        <f t="shared" si="182"/>
        <v>683.00356000000011</v>
      </c>
      <c r="V206" s="448">
        <f t="shared" si="183"/>
        <v>649.99966000000006</v>
      </c>
      <c r="W206" s="448">
        <f t="shared" si="183"/>
        <v>33.003900000000002</v>
      </c>
      <c r="X206" s="445">
        <f t="shared" si="157"/>
        <v>0</v>
      </c>
      <c r="Y206" s="448"/>
      <c r="Z206" s="448"/>
      <c r="AA206" s="448">
        <f t="shared" si="185"/>
        <v>468.28356000000002</v>
      </c>
      <c r="AB206" s="483">
        <f>338.75+108.28966</f>
        <v>447.03966000000003</v>
      </c>
      <c r="AC206" s="483">
        <f>14+7.2439</f>
        <v>21.2439</v>
      </c>
      <c r="AD206" s="448">
        <f>+AE206+AF206</f>
        <v>214.72</v>
      </c>
      <c r="AE206" s="483">
        <v>202.96</v>
      </c>
      <c r="AF206" s="483">
        <v>11.76</v>
      </c>
      <c r="AG206" s="448"/>
      <c r="AH206" s="483"/>
      <c r="AI206" s="483"/>
      <c r="AJ206" s="448"/>
      <c r="AK206" s="448"/>
      <c r="AL206" s="145"/>
      <c r="AM206" s="369"/>
      <c r="AN206" s="369"/>
      <c r="AO206" s="369"/>
    </row>
    <row r="207" spans="1:41" s="146" customFormat="1" ht="30" hidden="1">
      <c r="A207" s="141">
        <v>10</v>
      </c>
      <c r="B207" s="337" t="s">
        <v>418</v>
      </c>
      <c r="C207" s="157" t="s">
        <v>419</v>
      </c>
      <c r="D207" s="157"/>
      <c r="E207" s="141" t="s">
        <v>410</v>
      </c>
      <c r="F207" s="158" t="s">
        <v>54</v>
      </c>
      <c r="G207" s="447">
        <f t="shared" si="156"/>
        <v>499</v>
      </c>
      <c r="H207" s="447">
        <v>475</v>
      </c>
      <c r="I207" s="447">
        <v>24</v>
      </c>
      <c r="J207" s="448">
        <v>0</v>
      </c>
      <c r="K207" s="483">
        <f t="shared" si="180"/>
        <v>0</v>
      </c>
      <c r="L207" s="448"/>
      <c r="M207" s="448"/>
      <c r="N207" s="483"/>
      <c r="O207" s="448"/>
      <c r="P207" s="448"/>
      <c r="Q207" s="466">
        <f t="shared" si="181"/>
        <v>499</v>
      </c>
      <c r="R207" s="448">
        <v>471.6</v>
      </c>
      <c r="S207" s="448">
        <v>27.4</v>
      </c>
      <c r="T207" s="448"/>
      <c r="U207" s="448">
        <f t="shared" si="182"/>
        <v>499</v>
      </c>
      <c r="V207" s="448">
        <f t="shared" si="183"/>
        <v>471.6</v>
      </c>
      <c r="W207" s="448">
        <f t="shared" si="183"/>
        <v>27.4</v>
      </c>
      <c r="X207" s="445">
        <f t="shared" si="157"/>
        <v>0</v>
      </c>
      <c r="Y207" s="448"/>
      <c r="Z207" s="448"/>
      <c r="AA207" s="448"/>
      <c r="AB207" s="483"/>
      <c r="AC207" s="483"/>
      <c r="AD207" s="448">
        <f>+AE207+AF207</f>
        <v>499</v>
      </c>
      <c r="AE207" s="483">
        <v>471.6</v>
      </c>
      <c r="AF207" s="483">
        <v>27.4</v>
      </c>
      <c r="AG207" s="448"/>
      <c r="AH207" s="483"/>
      <c r="AI207" s="483"/>
      <c r="AJ207" s="448"/>
      <c r="AK207" s="448"/>
      <c r="AL207" s="145"/>
      <c r="AM207" s="369"/>
      <c r="AN207" s="369"/>
      <c r="AO207" s="369"/>
    </row>
    <row r="208" spans="1:41" s="146" customFormat="1" ht="60" hidden="1">
      <c r="A208" s="141">
        <v>14</v>
      </c>
      <c r="B208" s="337" t="s">
        <v>424</v>
      </c>
      <c r="C208" s="157" t="s">
        <v>419</v>
      </c>
      <c r="D208" s="157"/>
      <c r="E208" s="150" t="s">
        <v>413</v>
      </c>
      <c r="F208" s="158" t="s">
        <v>55</v>
      </c>
      <c r="G208" s="447">
        <f t="shared" si="156"/>
        <v>299</v>
      </c>
      <c r="H208" s="447">
        <v>285</v>
      </c>
      <c r="I208" s="447">
        <v>14</v>
      </c>
      <c r="J208" s="448">
        <v>0</v>
      </c>
      <c r="K208" s="483">
        <f t="shared" si="180"/>
        <v>0</v>
      </c>
      <c r="L208" s="448"/>
      <c r="M208" s="448"/>
      <c r="N208" s="483"/>
      <c r="O208" s="448"/>
      <c r="P208" s="448"/>
      <c r="Q208" s="466">
        <f t="shared" si="181"/>
        <v>299</v>
      </c>
      <c r="R208" s="448">
        <v>282.60000000000002</v>
      </c>
      <c r="S208" s="448">
        <v>16.399999999999999</v>
      </c>
      <c r="T208" s="448"/>
      <c r="U208" s="448">
        <f t="shared" si="182"/>
        <v>299</v>
      </c>
      <c r="V208" s="448">
        <f t="shared" si="183"/>
        <v>282.60000000000002</v>
      </c>
      <c r="W208" s="448">
        <f t="shared" si="183"/>
        <v>16.399999999999999</v>
      </c>
      <c r="X208" s="445">
        <f t="shared" si="157"/>
        <v>0</v>
      </c>
      <c r="Y208" s="448"/>
      <c r="Z208" s="448"/>
      <c r="AA208" s="448"/>
      <c r="AB208" s="483"/>
      <c r="AC208" s="483"/>
      <c r="AD208" s="448">
        <f>+AE208+AF208</f>
        <v>299</v>
      </c>
      <c r="AE208" s="483">
        <v>282.60000000000002</v>
      </c>
      <c r="AF208" s="483">
        <v>16.399999999999999</v>
      </c>
      <c r="AG208" s="448"/>
      <c r="AH208" s="483"/>
      <c r="AI208" s="483"/>
      <c r="AJ208" s="448"/>
      <c r="AK208" s="448"/>
      <c r="AL208" s="145"/>
      <c r="AM208" s="369"/>
      <c r="AN208" s="369"/>
      <c r="AO208" s="369"/>
    </row>
    <row r="209" spans="1:41" s="146" customFormat="1" ht="75" hidden="1">
      <c r="A209" s="141">
        <v>15</v>
      </c>
      <c r="B209" s="337" t="s">
        <v>425</v>
      </c>
      <c r="C209" s="157" t="s">
        <v>426</v>
      </c>
      <c r="D209" s="157"/>
      <c r="E209" s="141" t="s">
        <v>427</v>
      </c>
      <c r="F209" s="158" t="s">
        <v>55</v>
      </c>
      <c r="G209" s="447">
        <f t="shared" si="156"/>
        <v>200</v>
      </c>
      <c r="H209" s="447">
        <v>190</v>
      </c>
      <c r="I209" s="447">
        <v>10</v>
      </c>
      <c r="J209" s="448">
        <v>0</v>
      </c>
      <c r="K209" s="483">
        <f>+L209+M209</f>
        <v>0</v>
      </c>
      <c r="L209" s="448">
        <f>+H209-R209</f>
        <v>0</v>
      </c>
      <c r="M209" s="448">
        <f>+I209-S209</f>
        <v>0</v>
      </c>
      <c r="N209" s="483"/>
      <c r="O209" s="448"/>
      <c r="P209" s="448"/>
      <c r="Q209" s="466">
        <f>+R209+S209</f>
        <v>200</v>
      </c>
      <c r="R209" s="448">
        <v>190</v>
      </c>
      <c r="S209" s="448">
        <v>10</v>
      </c>
      <c r="T209" s="448"/>
      <c r="U209" s="448">
        <f t="shared" si="182"/>
        <v>152.07999999999998</v>
      </c>
      <c r="V209" s="448">
        <f t="shared" si="183"/>
        <v>143.63999999999999</v>
      </c>
      <c r="W209" s="448">
        <f t="shared" si="183"/>
        <v>8.44</v>
      </c>
      <c r="X209" s="445">
        <f t="shared" si="157"/>
        <v>0</v>
      </c>
      <c r="Y209" s="448"/>
      <c r="Z209" s="448"/>
      <c r="AA209" s="448"/>
      <c r="AB209" s="483"/>
      <c r="AC209" s="483"/>
      <c r="AD209" s="448">
        <f>+AE209+AF209</f>
        <v>152.07999999999998</v>
      </c>
      <c r="AE209" s="483">
        <v>143.63999999999999</v>
      </c>
      <c r="AF209" s="483">
        <v>8.44</v>
      </c>
      <c r="AG209" s="448">
        <f>+AH209+AI209</f>
        <v>47.92</v>
      </c>
      <c r="AH209" s="483">
        <v>46.36</v>
      </c>
      <c r="AI209" s="483">
        <v>1.56</v>
      </c>
      <c r="AJ209" s="448">
        <f>+AD209+AG209</f>
        <v>200</v>
      </c>
      <c r="AK209" s="448">
        <f t="shared" ref="AK209:AL209" si="186">+AE209+AH209</f>
        <v>190</v>
      </c>
      <c r="AL209" s="448">
        <f t="shared" si="186"/>
        <v>10</v>
      </c>
      <c r="AM209" s="369"/>
      <c r="AN209" s="369"/>
      <c r="AO209" s="369"/>
    </row>
    <row r="210" spans="1:41" s="146" customFormat="1" ht="75" hidden="1">
      <c r="A210" s="141">
        <v>16</v>
      </c>
      <c r="B210" s="338" t="s">
        <v>805</v>
      </c>
      <c r="C210" s="157" t="s">
        <v>428</v>
      </c>
      <c r="D210" s="157"/>
      <c r="E210" s="141" t="s">
        <v>128</v>
      </c>
      <c r="F210" s="158" t="s">
        <v>55</v>
      </c>
      <c r="G210" s="447">
        <f t="shared" si="156"/>
        <v>1000</v>
      </c>
      <c r="H210" s="447">
        <v>952</v>
      </c>
      <c r="I210" s="447">
        <v>48</v>
      </c>
      <c r="J210" s="448">
        <v>0</v>
      </c>
      <c r="K210" s="483">
        <f t="shared" si="180"/>
        <v>0</v>
      </c>
      <c r="L210" s="448"/>
      <c r="M210" s="448"/>
      <c r="N210" s="483"/>
      <c r="O210" s="448"/>
      <c r="P210" s="448"/>
      <c r="Q210" s="466">
        <f t="shared" si="181"/>
        <v>1000</v>
      </c>
      <c r="R210" s="448">
        <v>945</v>
      </c>
      <c r="S210" s="448">
        <v>55</v>
      </c>
      <c r="T210" s="448"/>
      <c r="U210" s="448">
        <f t="shared" si="182"/>
        <v>1000</v>
      </c>
      <c r="V210" s="448">
        <f t="shared" si="183"/>
        <v>945</v>
      </c>
      <c r="W210" s="448">
        <f t="shared" si="183"/>
        <v>55</v>
      </c>
      <c r="X210" s="445">
        <f t="shared" si="157"/>
        <v>0</v>
      </c>
      <c r="Y210" s="448"/>
      <c r="Z210" s="448"/>
      <c r="AA210" s="448"/>
      <c r="AB210" s="483"/>
      <c r="AC210" s="483"/>
      <c r="AD210" s="448">
        <f>+AE210+AF210</f>
        <v>1000</v>
      </c>
      <c r="AE210" s="483">
        <v>945</v>
      </c>
      <c r="AF210" s="483">
        <v>55</v>
      </c>
      <c r="AG210" s="448"/>
      <c r="AH210" s="483"/>
      <c r="AI210" s="483"/>
      <c r="AJ210" s="448"/>
      <c r="AK210" s="448"/>
      <c r="AL210" s="145"/>
      <c r="AM210" s="369"/>
      <c r="AN210" s="369"/>
      <c r="AO210" s="369"/>
    </row>
    <row r="211" spans="1:41" s="146" customFormat="1" ht="60" hidden="1">
      <c r="A211" s="141">
        <v>11</v>
      </c>
      <c r="B211" s="337" t="s">
        <v>420</v>
      </c>
      <c r="C211" s="157" t="s">
        <v>395</v>
      </c>
      <c r="D211" s="157"/>
      <c r="E211" s="150" t="s">
        <v>421</v>
      </c>
      <c r="F211" s="158" t="s">
        <v>54</v>
      </c>
      <c r="G211" s="447">
        <f>H211+I211</f>
        <v>1998</v>
      </c>
      <c r="H211" s="447">
        <v>1903</v>
      </c>
      <c r="I211" s="447">
        <v>95</v>
      </c>
      <c r="J211" s="448">
        <v>0</v>
      </c>
      <c r="K211" s="483">
        <f>+L211+M211</f>
        <v>20.324100000000001</v>
      </c>
      <c r="L211" s="448"/>
      <c r="M211" s="448">
        <f>+I211-S211</f>
        <v>20.324100000000001</v>
      </c>
      <c r="N211" s="483">
        <f>+O211+P211</f>
        <v>31.305039999999963</v>
      </c>
      <c r="O211" s="448">
        <f>+R211-H211</f>
        <v>31.305039999999963</v>
      </c>
      <c r="P211" s="448"/>
      <c r="Q211" s="466">
        <f t="shared" si="181"/>
        <v>2008.9809399999999</v>
      </c>
      <c r="R211" s="448">
        <v>1934.30504</v>
      </c>
      <c r="S211" s="448">
        <v>74.675899999999999</v>
      </c>
      <c r="T211" s="448"/>
      <c r="U211" s="448">
        <f>+V211+W211</f>
        <v>0</v>
      </c>
      <c r="V211" s="448">
        <f t="shared" si="183"/>
        <v>0</v>
      </c>
      <c r="W211" s="448">
        <f t="shared" si="183"/>
        <v>0</v>
      </c>
      <c r="X211" s="445">
        <f>Y211+Z211</f>
        <v>0</v>
      </c>
      <c r="Y211" s="448"/>
      <c r="Z211" s="448"/>
      <c r="AA211" s="448"/>
      <c r="AB211" s="483"/>
      <c r="AC211" s="483"/>
      <c r="AD211" s="448"/>
      <c r="AE211" s="483"/>
      <c r="AF211" s="483"/>
      <c r="AG211" s="447">
        <f t="shared" ref="AG211:AG216" si="187">AH211+AI211</f>
        <v>2008.9809399999999</v>
      </c>
      <c r="AH211" s="447">
        <v>1934.30504</v>
      </c>
      <c r="AI211" s="447">
        <v>74.675899999999999</v>
      </c>
      <c r="AJ211" s="448"/>
      <c r="AK211" s="448"/>
      <c r="AL211" s="145"/>
      <c r="AM211" s="369"/>
      <c r="AN211" s="369"/>
      <c r="AO211" s="369"/>
    </row>
    <row r="212" spans="1:41" s="146" customFormat="1" ht="30" hidden="1">
      <c r="A212" s="141">
        <v>12</v>
      </c>
      <c r="B212" s="337" t="s">
        <v>422</v>
      </c>
      <c r="C212" s="157" t="s">
        <v>412</v>
      </c>
      <c r="D212" s="157"/>
      <c r="E212" s="141"/>
      <c r="F212" s="158" t="s">
        <v>54</v>
      </c>
      <c r="G212" s="447">
        <f>H212+I212</f>
        <v>250</v>
      </c>
      <c r="H212" s="447">
        <v>238</v>
      </c>
      <c r="I212" s="447">
        <v>12</v>
      </c>
      <c r="J212" s="448">
        <v>0</v>
      </c>
      <c r="K212" s="483">
        <f t="shared" si="180"/>
        <v>0</v>
      </c>
      <c r="L212" s="448"/>
      <c r="M212" s="448"/>
      <c r="N212" s="483"/>
      <c r="O212" s="448"/>
      <c r="P212" s="448"/>
      <c r="Q212" s="466">
        <f t="shared" si="181"/>
        <v>250</v>
      </c>
      <c r="R212" s="448">
        <v>238</v>
      </c>
      <c r="S212" s="448">
        <v>12</v>
      </c>
      <c r="T212" s="448"/>
      <c r="U212" s="448">
        <f>+V212+W212</f>
        <v>0</v>
      </c>
      <c r="V212" s="448">
        <f t="shared" si="183"/>
        <v>0</v>
      </c>
      <c r="W212" s="448">
        <f t="shared" si="183"/>
        <v>0</v>
      </c>
      <c r="X212" s="445">
        <f>Y212+Z212</f>
        <v>0</v>
      </c>
      <c r="Y212" s="448"/>
      <c r="Z212" s="448"/>
      <c r="AA212" s="448"/>
      <c r="AB212" s="483"/>
      <c r="AC212" s="483"/>
      <c r="AD212" s="448"/>
      <c r="AE212" s="483"/>
      <c r="AF212" s="483"/>
      <c r="AG212" s="447">
        <f t="shared" si="187"/>
        <v>250</v>
      </c>
      <c r="AH212" s="447">
        <v>238</v>
      </c>
      <c r="AI212" s="447">
        <v>12</v>
      </c>
      <c r="AJ212" s="448"/>
      <c r="AK212" s="448"/>
      <c r="AL212" s="145"/>
      <c r="AM212" s="369"/>
      <c r="AN212" s="369"/>
      <c r="AO212" s="369"/>
    </row>
    <row r="213" spans="1:41" s="146" customFormat="1" ht="75" hidden="1">
      <c r="A213" s="141">
        <v>13</v>
      </c>
      <c r="B213" s="337" t="s">
        <v>423</v>
      </c>
      <c r="C213" s="157" t="s">
        <v>406</v>
      </c>
      <c r="D213" s="157"/>
      <c r="E213" s="141" t="s">
        <v>94</v>
      </c>
      <c r="F213" s="158" t="s">
        <v>55</v>
      </c>
      <c r="G213" s="447">
        <f>H213+I213</f>
        <v>251</v>
      </c>
      <c r="H213" s="447">
        <v>239</v>
      </c>
      <c r="I213" s="447">
        <v>12</v>
      </c>
      <c r="J213" s="448">
        <v>0</v>
      </c>
      <c r="K213" s="483">
        <f t="shared" si="180"/>
        <v>0</v>
      </c>
      <c r="L213" s="448"/>
      <c r="M213" s="448"/>
      <c r="N213" s="483"/>
      <c r="O213" s="448"/>
      <c r="P213" s="448"/>
      <c r="Q213" s="466">
        <f t="shared" si="181"/>
        <v>251</v>
      </c>
      <c r="R213" s="448">
        <v>239</v>
      </c>
      <c r="S213" s="448">
        <v>12</v>
      </c>
      <c r="T213" s="448"/>
      <c r="U213" s="448">
        <f>+V213+W213</f>
        <v>0</v>
      </c>
      <c r="V213" s="448">
        <f t="shared" si="183"/>
        <v>0</v>
      </c>
      <c r="W213" s="448">
        <f t="shared" si="183"/>
        <v>0</v>
      </c>
      <c r="X213" s="445">
        <f>Y213+Z213</f>
        <v>0</v>
      </c>
      <c r="Y213" s="448"/>
      <c r="Z213" s="448"/>
      <c r="AA213" s="448"/>
      <c r="AB213" s="483"/>
      <c r="AC213" s="483"/>
      <c r="AD213" s="448"/>
      <c r="AE213" s="483"/>
      <c r="AF213" s="483"/>
      <c r="AG213" s="447">
        <f t="shared" si="187"/>
        <v>251</v>
      </c>
      <c r="AH213" s="447">
        <v>239</v>
      </c>
      <c r="AI213" s="447">
        <v>12</v>
      </c>
      <c r="AJ213" s="448"/>
      <c r="AK213" s="448"/>
      <c r="AL213" s="145"/>
      <c r="AM213" s="369"/>
      <c r="AN213" s="369"/>
      <c r="AO213" s="369"/>
    </row>
    <row r="214" spans="1:41" s="146" customFormat="1" ht="45" hidden="1">
      <c r="A214" s="141">
        <v>17</v>
      </c>
      <c r="B214" s="337" t="s">
        <v>429</v>
      </c>
      <c r="C214" s="157" t="s">
        <v>395</v>
      </c>
      <c r="D214" s="157"/>
      <c r="E214" s="141" t="s">
        <v>430</v>
      </c>
      <c r="F214" s="158" t="s">
        <v>55</v>
      </c>
      <c r="G214" s="447">
        <f t="shared" si="156"/>
        <v>200</v>
      </c>
      <c r="H214" s="447">
        <v>190</v>
      </c>
      <c r="I214" s="447">
        <v>10</v>
      </c>
      <c r="J214" s="448">
        <v>0</v>
      </c>
      <c r="K214" s="483">
        <f t="shared" si="180"/>
        <v>0</v>
      </c>
      <c r="L214" s="448"/>
      <c r="M214" s="448"/>
      <c r="N214" s="483"/>
      <c r="O214" s="448"/>
      <c r="P214" s="448"/>
      <c r="Q214" s="466">
        <f t="shared" si="181"/>
        <v>200</v>
      </c>
      <c r="R214" s="448">
        <v>190</v>
      </c>
      <c r="S214" s="448">
        <v>10</v>
      </c>
      <c r="T214" s="448"/>
      <c r="U214" s="448">
        <f t="shared" si="182"/>
        <v>0</v>
      </c>
      <c r="V214" s="448">
        <f t="shared" si="183"/>
        <v>0</v>
      </c>
      <c r="W214" s="448">
        <f t="shared" si="183"/>
        <v>0</v>
      </c>
      <c r="X214" s="445">
        <f t="shared" si="157"/>
        <v>0</v>
      </c>
      <c r="Y214" s="448"/>
      <c r="Z214" s="448"/>
      <c r="AA214" s="448"/>
      <c r="AB214" s="483"/>
      <c r="AC214" s="483"/>
      <c r="AD214" s="448"/>
      <c r="AE214" s="483"/>
      <c r="AF214" s="483"/>
      <c r="AG214" s="447">
        <f t="shared" si="187"/>
        <v>200</v>
      </c>
      <c r="AH214" s="447">
        <v>190</v>
      </c>
      <c r="AI214" s="447">
        <v>10</v>
      </c>
      <c r="AJ214" s="448"/>
      <c r="AK214" s="448"/>
      <c r="AL214" s="145"/>
      <c r="AM214" s="369"/>
      <c r="AN214" s="369"/>
      <c r="AO214" s="369"/>
    </row>
    <row r="215" spans="1:41" s="146" customFormat="1" ht="75" hidden="1">
      <c r="A215" s="141">
        <v>18</v>
      </c>
      <c r="B215" s="337" t="s">
        <v>431</v>
      </c>
      <c r="C215" s="157" t="s">
        <v>426</v>
      </c>
      <c r="D215" s="157"/>
      <c r="E215" s="141" t="s">
        <v>94</v>
      </c>
      <c r="F215" s="158" t="s">
        <v>55</v>
      </c>
      <c r="G215" s="447">
        <f t="shared" si="156"/>
        <v>251</v>
      </c>
      <c r="H215" s="447">
        <v>239</v>
      </c>
      <c r="I215" s="447">
        <v>12</v>
      </c>
      <c r="J215" s="448">
        <v>0</v>
      </c>
      <c r="K215" s="483">
        <f t="shared" si="180"/>
        <v>0</v>
      </c>
      <c r="L215" s="448"/>
      <c r="M215" s="448"/>
      <c r="N215" s="483"/>
      <c r="O215" s="448"/>
      <c r="P215" s="448"/>
      <c r="Q215" s="466">
        <f t="shared" si="181"/>
        <v>251</v>
      </c>
      <c r="R215" s="448">
        <v>239</v>
      </c>
      <c r="S215" s="448">
        <v>12</v>
      </c>
      <c r="T215" s="448"/>
      <c r="U215" s="448">
        <f t="shared" si="182"/>
        <v>0</v>
      </c>
      <c r="V215" s="448">
        <f t="shared" si="183"/>
        <v>0</v>
      </c>
      <c r="W215" s="448">
        <f t="shared" si="183"/>
        <v>0</v>
      </c>
      <c r="X215" s="445">
        <f t="shared" si="157"/>
        <v>0</v>
      </c>
      <c r="Y215" s="448"/>
      <c r="Z215" s="448"/>
      <c r="AA215" s="448"/>
      <c r="AB215" s="483"/>
      <c r="AC215" s="483"/>
      <c r="AD215" s="448"/>
      <c r="AE215" s="483"/>
      <c r="AF215" s="483"/>
      <c r="AG215" s="447">
        <f t="shared" si="187"/>
        <v>251</v>
      </c>
      <c r="AH215" s="447">
        <v>239</v>
      </c>
      <c r="AI215" s="447">
        <v>12</v>
      </c>
      <c r="AJ215" s="448"/>
      <c r="AK215" s="448"/>
      <c r="AL215" s="145"/>
      <c r="AM215" s="369"/>
      <c r="AN215" s="369"/>
      <c r="AO215" s="369"/>
    </row>
    <row r="216" spans="1:41" s="146" customFormat="1" ht="75" hidden="1">
      <c r="A216" s="141">
        <v>19</v>
      </c>
      <c r="B216" s="337" t="s">
        <v>432</v>
      </c>
      <c r="C216" s="157" t="s">
        <v>428</v>
      </c>
      <c r="D216" s="157"/>
      <c r="E216" s="141" t="s">
        <v>94</v>
      </c>
      <c r="F216" s="158" t="s">
        <v>55</v>
      </c>
      <c r="G216" s="447">
        <f t="shared" si="156"/>
        <v>250.95</v>
      </c>
      <c r="H216" s="447">
        <v>238.95</v>
      </c>
      <c r="I216" s="447">
        <v>12</v>
      </c>
      <c r="J216" s="448">
        <v>0</v>
      </c>
      <c r="K216" s="483">
        <f t="shared" si="180"/>
        <v>0</v>
      </c>
      <c r="L216" s="448"/>
      <c r="M216" s="448"/>
      <c r="N216" s="483"/>
      <c r="O216" s="448"/>
      <c r="P216" s="448"/>
      <c r="Q216" s="466">
        <f t="shared" si="181"/>
        <v>250.95</v>
      </c>
      <c r="R216" s="448">
        <v>238.95</v>
      </c>
      <c r="S216" s="448">
        <v>12</v>
      </c>
      <c r="T216" s="448"/>
      <c r="U216" s="448">
        <f t="shared" si="182"/>
        <v>0</v>
      </c>
      <c r="V216" s="448">
        <f t="shared" si="183"/>
        <v>0</v>
      </c>
      <c r="W216" s="448">
        <f t="shared" si="183"/>
        <v>0</v>
      </c>
      <c r="X216" s="445">
        <f t="shared" si="157"/>
        <v>0</v>
      </c>
      <c r="Y216" s="448"/>
      <c r="Z216" s="448"/>
      <c r="AA216" s="448"/>
      <c r="AB216" s="483"/>
      <c r="AC216" s="483"/>
      <c r="AD216" s="448"/>
      <c r="AE216" s="483"/>
      <c r="AF216" s="483"/>
      <c r="AG216" s="447">
        <f t="shared" si="187"/>
        <v>250.95</v>
      </c>
      <c r="AH216" s="447">
        <v>238.95</v>
      </c>
      <c r="AI216" s="447">
        <v>12</v>
      </c>
      <c r="AJ216" s="448"/>
      <c r="AK216" s="448"/>
      <c r="AL216" s="145"/>
      <c r="AM216" s="369"/>
      <c r="AN216" s="369"/>
      <c r="AO216" s="369"/>
    </row>
    <row r="217" spans="1:41" s="14" customFormat="1" ht="23.25" customHeight="1">
      <c r="A217" s="4" t="s">
        <v>1000</v>
      </c>
      <c r="B217" s="509" t="s">
        <v>434</v>
      </c>
      <c r="C217" s="418"/>
      <c r="D217" s="418"/>
      <c r="E217" s="417">
        <v>0</v>
      </c>
      <c r="F217" s="417"/>
      <c r="G217" s="446">
        <f>SUM(G218:G221)</f>
        <v>1504.2799999999997</v>
      </c>
      <c r="H217" s="446">
        <f>SUM(H218:H221)</f>
        <v>1432.65</v>
      </c>
      <c r="I217" s="446">
        <f>SUM(I218:I221)</f>
        <v>71.63</v>
      </c>
      <c r="J217" s="446">
        <f>SUM(J218:J221)</f>
        <v>0</v>
      </c>
      <c r="K217" s="446">
        <f t="shared" ref="K217:AI217" si="188">SUM(K218:K221)</f>
        <v>58.240000000000023</v>
      </c>
      <c r="L217" s="446">
        <f t="shared" si="188"/>
        <v>55.100000000000023</v>
      </c>
      <c r="M217" s="446">
        <f t="shared" si="188"/>
        <v>3.139999999999997</v>
      </c>
      <c r="N217" s="446">
        <f t="shared" si="188"/>
        <v>58.240000000000023</v>
      </c>
      <c r="O217" s="446">
        <f t="shared" si="188"/>
        <v>55.100000000000023</v>
      </c>
      <c r="P217" s="446">
        <f t="shared" si="188"/>
        <v>3.1400000000000006</v>
      </c>
      <c r="Q217" s="446">
        <f t="shared" si="188"/>
        <v>1504.2800000000002</v>
      </c>
      <c r="R217" s="446">
        <f t="shared" si="188"/>
        <v>1432.65</v>
      </c>
      <c r="S217" s="446">
        <f t="shared" si="188"/>
        <v>71.63000000000001</v>
      </c>
      <c r="T217" s="446">
        <f t="shared" si="188"/>
        <v>0</v>
      </c>
      <c r="U217" s="446">
        <f t="shared" si="188"/>
        <v>1004.4000000000001</v>
      </c>
      <c r="V217" s="446">
        <f t="shared" si="188"/>
        <v>952.53</v>
      </c>
      <c r="W217" s="446">
        <f t="shared" si="188"/>
        <v>51.870000000000005</v>
      </c>
      <c r="X217" s="446">
        <f t="shared" si="188"/>
        <v>270.74</v>
      </c>
      <c r="Y217" s="446">
        <f t="shared" si="188"/>
        <v>257.85000000000002</v>
      </c>
      <c r="Z217" s="446">
        <f t="shared" si="188"/>
        <v>12.89</v>
      </c>
      <c r="AA217" s="446">
        <f t="shared" si="188"/>
        <v>364.36</v>
      </c>
      <c r="AB217" s="446">
        <f t="shared" si="188"/>
        <v>345.68</v>
      </c>
      <c r="AC217" s="446">
        <f t="shared" si="188"/>
        <v>18.68</v>
      </c>
      <c r="AD217" s="446">
        <f t="shared" si="188"/>
        <v>369.3</v>
      </c>
      <c r="AE217" s="446">
        <f t="shared" si="188"/>
        <v>349</v>
      </c>
      <c r="AF217" s="446">
        <f t="shared" si="188"/>
        <v>20.3</v>
      </c>
      <c r="AG217" s="446">
        <f t="shared" si="188"/>
        <v>499.88</v>
      </c>
      <c r="AH217" s="446">
        <f t="shared" si="188"/>
        <v>480.12</v>
      </c>
      <c r="AI217" s="446">
        <f t="shared" si="188"/>
        <v>19.760000000000002</v>
      </c>
      <c r="AJ217" s="446"/>
      <c r="AK217" s="446">
        <f>SUM(AK218:AK221)</f>
        <v>0</v>
      </c>
      <c r="AL217" s="16"/>
      <c r="AM217" s="368">
        <f>+'NĂM 2022'!K71+'NĂM 2023'!N86+'NĂM 2024'!J78+'NĂM 2025'!J75</f>
        <v>1504.28</v>
      </c>
      <c r="AN217" s="368">
        <f>+'NĂM 2022'!L71+'NĂM 2023'!O86+'NĂM 2024'!K78+'NĂM 2025'!K75</f>
        <v>1432.65</v>
      </c>
      <c r="AO217" s="368">
        <f>+'NĂM 2022'!M71+'NĂM 2023'!P86+'NĂM 2024'!L78+'NĂM 2025'!L75</f>
        <v>71.63</v>
      </c>
    </row>
    <row r="218" spans="1:41" ht="75" hidden="1">
      <c r="A218" s="8">
        <v>1</v>
      </c>
      <c r="B218" s="328" t="s">
        <v>435</v>
      </c>
      <c r="C218" s="8" t="s">
        <v>436</v>
      </c>
      <c r="D218" s="8"/>
      <c r="E218" s="8" t="s">
        <v>437</v>
      </c>
      <c r="F218" s="27" t="s">
        <v>52</v>
      </c>
      <c r="G218" s="445">
        <f t="shared" si="156"/>
        <v>270.74</v>
      </c>
      <c r="H218" s="445">
        <v>257.85000000000002</v>
      </c>
      <c r="I218" s="445">
        <v>12.89</v>
      </c>
      <c r="J218" s="451">
        <v>0</v>
      </c>
      <c r="K218" s="483">
        <f>+G218-Q218</f>
        <v>0</v>
      </c>
      <c r="L218" s="451"/>
      <c r="M218" s="451"/>
      <c r="N218" s="483"/>
      <c r="O218" s="451"/>
      <c r="P218" s="451"/>
      <c r="Q218" s="466">
        <f>+R218+S218</f>
        <v>270.74</v>
      </c>
      <c r="R218" s="451">
        <v>257.85000000000002</v>
      </c>
      <c r="S218" s="451">
        <v>12.89</v>
      </c>
      <c r="T218" s="451"/>
      <c r="U218" s="451">
        <f>+V218+W218</f>
        <v>270.74</v>
      </c>
      <c r="V218" s="451">
        <f>+Y218+AB218+AE218</f>
        <v>257.85000000000002</v>
      </c>
      <c r="W218" s="451">
        <f>+Z218+AC218+AF218</f>
        <v>12.89</v>
      </c>
      <c r="X218" s="445">
        <f t="shared" si="157"/>
        <v>270.74</v>
      </c>
      <c r="Y218" s="445">
        <v>257.85000000000002</v>
      </c>
      <c r="Z218" s="445">
        <v>12.89</v>
      </c>
      <c r="AA218" s="445"/>
      <c r="AB218" s="481"/>
      <c r="AC218" s="481"/>
      <c r="AD218" s="445"/>
      <c r="AE218" s="481"/>
      <c r="AF218" s="481"/>
      <c r="AG218" s="445"/>
      <c r="AH218" s="481"/>
      <c r="AI218" s="481"/>
      <c r="AJ218" s="445"/>
      <c r="AK218" s="451"/>
      <c r="AL218" s="15"/>
      <c r="AM218" s="506">
        <f>+G217-U217</f>
        <v>499.87999999999965</v>
      </c>
      <c r="AN218" s="506">
        <f>+H217-V217</f>
        <v>480.12000000000012</v>
      </c>
      <c r="AO218" s="506">
        <f>+I217-W217</f>
        <v>19.759999999999991</v>
      </c>
    </row>
    <row r="219" spans="1:41" ht="75" hidden="1">
      <c r="A219" s="8">
        <f>+A218+1</f>
        <v>2</v>
      </c>
      <c r="B219" s="328" t="s">
        <v>435</v>
      </c>
      <c r="C219" s="8" t="s">
        <v>436</v>
      </c>
      <c r="D219" s="8"/>
      <c r="E219" s="8" t="s">
        <v>437</v>
      </c>
      <c r="F219" s="8" t="s">
        <v>53</v>
      </c>
      <c r="G219" s="445">
        <f t="shared" si="156"/>
        <v>328.34</v>
      </c>
      <c r="H219" s="445">
        <v>312.7</v>
      </c>
      <c r="I219" s="445">
        <v>15.64</v>
      </c>
      <c r="J219" s="451">
        <v>0</v>
      </c>
      <c r="K219" s="483"/>
      <c r="L219" s="451"/>
      <c r="M219" s="451"/>
      <c r="N219" s="483">
        <f>+O219+P219</f>
        <v>36.020000000000017</v>
      </c>
      <c r="O219" s="451">
        <f>+R219-H219</f>
        <v>32.980000000000018</v>
      </c>
      <c r="P219" s="451">
        <f>+S219-I219</f>
        <v>3.0399999999999991</v>
      </c>
      <c r="Q219" s="466">
        <f t="shared" ref="Q219:Q220" si="189">+R219+S219</f>
        <v>364.36</v>
      </c>
      <c r="R219" s="451">
        <v>345.68</v>
      </c>
      <c r="S219" s="451">
        <v>18.68</v>
      </c>
      <c r="T219" s="451"/>
      <c r="U219" s="451">
        <f t="shared" ref="U219:U221" si="190">+V219+W219</f>
        <v>364.36</v>
      </c>
      <c r="V219" s="451">
        <f t="shared" ref="V219:W221" si="191">+Y219+AB219+AE219</f>
        <v>345.68</v>
      </c>
      <c r="W219" s="451">
        <f t="shared" si="191"/>
        <v>18.68</v>
      </c>
      <c r="X219" s="445">
        <f t="shared" si="157"/>
        <v>0</v>
      </c>
      <c r="Y219" s="451"/>
      <c r="Z219" s="451"/>
      <c r="AA219" s="451">
        <f>+AB219+AC219</f>
        <v>364.36</v>
      </c>
      <c r="AB219" s="483">
        <v>345.68</v>
      </c>
      <c r="AC219" s="483">
        <v>18.68</v>
      </c>
      <c r="AD219" s="451"/>
      <c r="AE219" s="483"/>
      <c r="AF219" s="483"/>
      <c r="AG219" s="451"/>
      <c r="AH219" s="483"/>
      <c r="AI219" s="483"/>
      <c r="AJ219" s="451"/>
      <c r="AK219" s="451"/>
      <c r="AL219" s="15"/>
      <c r="AM219" s="506">
        <f>+AM218-AG217</f>
        <v>0</v>
      </c>
      <c r="AN219" s="506">
        <f t="shared" ref="AN219:AO219" si="192">+AN218-AH217</f>
        <v>0</v>
      </c>
      <c r="AO219" s="506">
        <f t="shared" si="192"/>
        <v>0</v>
      </c>
    </row>
    <row r="220" spans="1:41" ht="30" hidden="1">
      <c r="A220" s="8">
        <f t="shared" ref="A220:A221" si="193">+A219+1</f>
        <v>3</v>
      </c>
      <c r="B220" s="328" t="s">
        <v>440</v>
      </c>
      <c r="C220" s="8" t="s">
        <v>436</v>
      </c>
      <c r="D220" s="8"/>
      <c r="E220" s="8" t="s">
        <v>441</v>
      </c>
      <c r="F220" s="8" t="s">
        <v>55</v>
      </c>
      <c r="G220" s="445">
        <f>H220+I220</f>
        <v>424.3</v>
      </c>
      <c r="H220" s="445">
        <v>404.1</v>
      </c>
      <c r="I220" s="445">
        <v>20.2</v>
      </c>
      <c r="J220" s="451">
        <v>0</v>
      </c>
      <c r="K220" s="483">
        <f>+L220+M220</f>
        <v>55.100000000000023</v>
      </c>
      <c r="L220" s="451">
        <f>+H220-R220</f>
        <v>55.100000000000023</v>
      </c>
      <c r="M220" s="451"/>
      <c r="N220" s="483">
        <f>+O220+P220</f>
        <v>0.10000000000000142</v>
      </c>
      <c r="O220" s="451"/>
      <c r="P220" s="451">
        <f>+S220-I220</f>
        <v>0.10000000000000142</v>
      </c>
      <c r="Q220" s="466">
        <f t="shared" si="189"/>
        <v>369.3</v>
      </c>
      <c r="R220" s="451">
        <v>349</v>
      </c>
      <c r="S220" s="451">
        <v>20.3</v>
      </c>
      <c r="T220" s="451"/>
      <c r="U220" s="451">
        <f>+V220+W220</f>
        <v>369.3</v>
      </c>
      <c r="V220" s="451">
        <f>+Y220+AB220+AE220</f>
        <v>349</v>
      </c>
      <c r="W220" s="451">
        <f>+Z220+AC220+AF220</f>
        <v>20.3</v>
      </c>
      <c r="X220" s="445">
        <f>Y220+Z220</f>
        <v>0</v>
      </c>
      <c r="Y220" s="451"/>
      <c r="Z220" s="451"/>
      <c r="AA220" s="451"/>
      <c r="AB220" s="483"/>
      <c r="AC220" s="483"/>
      <c r="AD220" s="451">
        <f>+AE220+AF220</f>
        <v>369.3</v>
      </c>
      <c r="AE220" s="483">
        <v>349</v>
      </c>
      <c r="AF220" s="483">
        <v>20.3</v>
      </c>
      <c r="AG220" s="451"/>
      <c r="AH220" s="483"/>
      <c r="AI220" s="483"/>
      <c r="AJ220" s="451"/>
      <c r="AK220" s="451"/>
      <c r="AL220" s="15"/>
      <c r="AM220" s="506"/>
      <c r="AN220" s="506"/>
      <c r="AO220" s="506"/>
    </row>
    <row r="221" spans="1:41" ht="45" hidden="1">
      <c r="A221" s="8">
        <f t="shared" si="193"/>
        <v>4</v>
      </c>
      <c r="B221" s="340" t="s">
        <v>438</v>
      </c>
      <c r="C221" s="8" t="s">
        <v>436</v>
      </c>
      <c r="D221" s="8"/>
      <c r="E221" s="8" t="s">
        <v>439</v>
      </c>
      <c r="F221" s="8" t="s">
        <v>54</v>
      </c>
      <c r="G221" s="445">
        <f t="shared" si="156"/>
        <v>480.9</v>
      </c>
      <c r="H221" s="445">
        <v>458</v>
      </c>
      <c r="I221" s="445">
        <v>22.9</v>
      </c>
      <c r="J221" s="451">
        <v>0</v>
      </c>
      <c r="K221" s="483">
        <f>+L221+M221</f>
        <v>3.139999999999997</v>
      </c>
      <c r="L221" s="451"/>
      <c r="M221" s="451">
        <f>+I221-S221</f>
        <v>3.139999999999997</v>
      </c>
      <c r="N221" s="483">
        <f>+O221+P221</f>
        <v>22.120000000000005</v>
      </c>
      <c r="O221" s="451">
        <f>+R221-H221</f>
        <v>22.120000000000005</v>
      </c>
      <c r="P221" s="451"/>
      <c r="Q221" s="451">
        <f>+R221+S221</f>
        <v>499.88</v>
      </c>
      <c r="R221" s="483">
        <v>480.12</v>
      </c>
      <c r="S221" s="483">
        <v>19.760000000000002</v>
      </c>
      <c r="T221" s="451"/>
      <c r="U221" s="451">
        <f t="shared" si="190"/>
        <v>0</v>
      </c>
      <c r="V221" s="451">
        <f t="shared" si="191"/>
        <v>0</v>
      </c>
      <c r="W221" s="451">
        <f t="shared" si="191"/>
        <v>0</v>
      </c>
      <c r="X221" s="445">
        <f t="shared" si="157"/>
        <v>0</v>
      </c>
      <c r="Y221" s="451"/>
      <c r="Z221" s="451"/>
      <c r="AA221" s="451"/>
      <c r="AB221" s="483"/>
      <c r="AC221" s="483"/>
      <c r="AD221" s="451"/>
      <c r="AE221" s="483"/>
      <c r="AF221" s="483"/>
      <c r="AG221" s="451">
        <f>+AH221+AI221</f>
        <v>499.88</v>
      </c>
      <c r="AH221" s="483">
        <v>480.12</v>
      </c>
      <c r="AI221" s="483">
        <v>19.760000000000002</v>
      </c>
      <c r="AJ221" s="451"/>
      <c r="AK221" s="451"/>
      <c r="AL221" s="15"/>
      <c r="AM221" s="506"/>
      <c r="AN221" s="506"/>
      <c r="AO221" s="506"/>
    </row>
    <row r="222" spans="1:41" s="14" customFormat="1" ht="23.25" customHeight="1">
      <c r="A222" s="4" t="s">
        <v>1001</v>
      </c>
      <c r="B222" s="507" t="s">
        <v>443</v>
      </c>
      <c r="C222" s="4"/>
      <c r="D222" s="4"/>
      <c r="E222" s="417">
        <v>0</v>
      </c>
      <c r="F222" s="417"/>
      <c r="G222" s="446">
        <f>SUM(G223:G236)</f>
        <v>10094.74</v>
      </c>
      <c r="H222" s="446">
        <f t="shared" ref="H222:T222" si="194">SUM(H223:H236)</f>
        <v>9614.0400000000009</v>
      </c>
      <c r="I222" s="446">
        <f t="shared" si="194"/>
        <v>480.7</v>
      </c>
      <c r="J222" s="446">
        <f t="shared" si="194"/>
        <v>0</v>
      </c>
      <c r="K222" s="446">
        <f t="shared" si="194"/>
        <v>651.41000000000008</v>
      </c>
      <c r="L222" s="446">
        <f t="shared" si="194"/>
        <v>609.74000000000012</v>
      </c>
      <c r="M222" s="446">
        <f t="shared" si="194"/>
        <v>41.669999999999995</v>
      </c>
      <c r="N222" s="446">
        <f t="shared" si="194"/>
        <v>651.4100000000002</v>
      </c>
      <c r="O222" s="446">
        <f t="shared" si="194"/>
        <v>609.74000000000012</v>
      </c>
      <c r="P222" s="446">
        <f t="shared" si="194"/>
        <v>41.670000000000016</v>
      </c>
      <c r="Q222" s="446">
        <f t="shared" si="194"/>
        <v>10094.74</v>
      </c>
      <c r="R222" s="446">
        <f t="shared" si="194"/>
        <v>9614.0400000000009</v>
      </c>
      <c r="S222" s="446">
        <f t="shared" si="194"/>
        <v>480.7</v>
      </c>
      <c r="T222" s="446">
        <f t="shared" si="194"/>
        <v>0</v>
      </c>
      <c r="U222" s="446">
        <f t="shared" ref="U222:AF222" si="195">SUM(U223:U235)</f>
        <v>6739.96</v>
      </c>
      <c r="V222" s="446">
        <f t="shared" si="195"/>
        <v>6392</v>
      </c>
      <c r="W222" s="446">
        <f t="shared" si="195"/>
        <v>347.96</v>
      </c>
      <c r="X222" s="446">
        <f t="shared" si="195"/>
        <v>1816.87</v>
      </c>
      <c r="Y222" s="446">
        <f t="shared" si="195"/>
        <v>1730.35</v>
      </c>
      <c r="Z222" s="446">
        <f t="shared" si="195"/>
        <v>86.52</v>
      </c>
      <c r="AA222" s="446">
        <f t="shared" si="195"/>
        <v>2444.9899999999998</v>
      </c>
      <c r="AB222" s="446">
        <f t="shared" si="195"/>
        <v>2319.75</v>
      </c>
      <c r="AC222" s="446">
        <f t="shared" si="195"/>
        <v>125.24000000000001</v>
      </c>
      <c r="AD222" s="446">
        <f t="shared" si="195"/>
        <v>2478.1000000000004</v>
      </c>
      <c r="AE222" s="446">
        <f t="shared" si="195"/>
        <v>2341.8999999999996</v>
      </c>
      <c r="AF222" s="446">
        <f t="shared" si="195"/>
        <v>136.19999999999999</v>
      </c>
      <c r="AG222" s="446">
        <f>SUM(AG223:AG236)</f>
        <v>3354.78</v>
      </c>
      <c r="AH222" s="446">
        <f>SUM(AH223:AH236)</f>
        <v>3222.04</v>
      </c>
      <c r="AI222" s="446">
        <f>SUM(AI223:AI236)</f>
        <v>132.73999999999998</v>
      </c>
      <c r="AJ222" s="446"/>
      <c r="AK222" s="446">
        <f>SUM(AK223:AK235)</f>
        <v>0</v>
      </c>
      <c r="AL222" s="16"/>
      <c r="AM222" s="368">
        <f>+'NĂM 2022'!K73+'NĂM 2023'!N88+'NĂM 2024'!J80+'NĂM 2025'!J77</f>
        <v>10094.74</v>
      </c>
      <c r="AN222" s="368">
        <f>+'NĂM 2022'!L73+'NĂM 2023'!O88+'NĂM 2024'!K80+'NĂM 2025'!K77</f>
        <v>9614.0400000000009</v>
      </c>
      <c r="AO222" s="368">
        <f>+'NĂM 2022'!M73+'NĂM 2023'!P88+'NĂM 2024'!L80+'NĂM 2025'!L77</f>
        <v>480.7</v>
      </c>
    </row>
    <row r="223" spans="1:41" ht="60" hidden="1">
      <c r="A223" s="8">
        <v>1</v>
      </c>
      <c r="B223" s="328" t="s">
        <v>444</v>
      </c>
      <c r="C223" s="8" t="s">
        <v>445</v>
      </c>
      <c r="D223" s="8"/>
      <c r="E223" s="22" t="s">
        <v>446</v>
      </c>
      <c r="F223" s="8" t="s">
        <v>52</v>
      </c>
      <c r="G223" s="445">
        <f t="shared" si="156"/>
        <v>1396.87</v>
      </c>
      <c r="H223" s="445">
        <v>1330.35</v>
      </c>
      <c r="I223" s="445">
        <v>66.52</v>
      </c>
      <c r="J223" s="451">
        <v>0</v>
      </c>
      <c r="K223" s="483">
        <f>+G223-Q223</f>
        <v>0</v>
      </c>
      <c r="L223" s="451"/>
      <c r="M223" s="451"/>
      <c r="N223" s="483"/>
      <c r="O223" s="451"/>
      <c r="P223" s="451"/>
      <c r="Q223" s="466">
        <f>+R223+S223</f>
        <v>1396.87</v>
      </c>
      <c r="R223" s="451">
        <v>1330.35</v>
      </c>
      <c r="S223" s="451">
        <v>66.52</v>
      </c>
      <c r="T223" s="451"/>
      <c r="U223" s="451">
        <f>+V223+W223</f>
        <v>1396.87</v>
      </c>
      <c r="V223" s="451">
        <f>+Y223+AB223+AE223</f>
        <v>1330.35</v>
      </c>
      <c r="W223" s="451">
        <f>+Z223+AC223+AF223</f>
        <v>66.52</v>
      </c>
      <c r="X223" s="445">
        <f t="shared" si="157"/>
        <v>1396.87</v>
      </c>
      <c r="Y223" s="445">
        <v>1330.35</v>
      </c>
      <c r="Z223" s="445">
        <v>66.52</v>
      </c>
      <c r="AA223" s="445"/>
      <c r="AB223" s="481"/>
      <c r="AC223" s="481"/>
      <c r="AD223" s="445"/>
      <c r="AE223" s="481"/>
      <c r="AF223" s="481"/>
      <c r="AG223" s="445"/>
      <c r="AH223" s="481"/>
      <c r="AI223" s="481"/>
      <c r="AJ223" s="445"/>
      <c r="AK223" s="451"/>
      <c r="AL223" s="15"/>
      <c r="AM223" s="506">
        <f>+G222-U222</f>
        <v>3354.7799999999997</v>
      </c>
      <c r="AN223" s="506">
        <f>+H222-V222</f>
        <v>3222.0400000000009</v>
      </c>
      <c r="AO223" s="506">
        <f>+I222-W222</f>
        <v>132.74</v>
      </c>
    </row>
    <row r="224" spans="1:41" ht="75" hidden="1">
      <c r="A224" s="8">
        <f>+A223+1</f>
        <v>2</v>
      </c>
      <c r="B224" s="328" t="s">
        <v>447</v>
      </c>
      <c r="C224" s="8" t="s">
        <v>445</v>
      </c>
      <c r="D224" s="8"/>
      <c r="E224" s="8" t="s">
        <v>94</v>
      </c>
      <c r="F224" s="8" t="s">
        <v>52</v>
      </c>
      <c r="G224" s="445">
        <f t="shared" si="156"/>
        <v>420</v>
      </c>
      <c r="H224" s="445">
        <v>400</v>
      </c>
      <c r="I224" s="445">
        <v>20</v>
      </c>
      <c r="J224" s="451">
        <v>0</v>
      </c>
      <c r="K224" s="483">
        <f t="shared" ref="K224" si="196">+G224-Q224</f>
        <v>0</v>
      </c>
      <c r="L224" s="451"/>
      <c r="M224" s="451"/>
      <c r="N224" s="483"/>
      <c r="O224" s="451"/>
      <c r="P224" s="451"/>
      <c r="Q224" s="466">
        <f t="shared" ref="Q224:Q230" si="197">+R224+S224</f>
        <v>420</v>
      </c>
      <c r="R224" s="451">
        <v>400</v>
      </c>
      <c r="S224" s="451">
        <v>20</v>
      </c>
      <c r="T224" s="451"/>
      <c r="U224" s="451">
        <f t="shared" ref="U224:U235" si="198">+V224+W224</f>
        <v>420</v>
      </c>
      <c r="V224" s="451">
        <f t="shared" ref="V224:W235" si="199">+Y224+AB224+AE224</f>
        <v>400</v>
      </c>
      <c r="W224" s="451">
        <f t="shared" si="199"/>
        <v>20</v>
      </c>
      <c r="X224" s="445">
        <f t="shared" si="157"/>
        <v>420</v>
      </c>
      <c r="Y224" s="445">
        <v>400</v>
      </c>
      <c r="Z224" s="445">
        <v>20</v>
      </c>
      <c r="AA224" s="445"/>
      <c r="AB224" s="481"/>
      <c r="AC224" s="481"/>
      <c r="AD224" s="445"/>
      <c r="AE224" s="481"/>
      <c r="AF224" s="481"/>
      <c r="AG224" s="445"/>
      <c r="AH224" s="481"/>
      <c r="AI224" s="481"/>
      <c r="AJ224" s="445"/>
      <c r="AK224" s="451"/>
      <c r="AL224" s="15"/>
      <c r="AM224" s="365">
        <f>+AM223-AG222</f>
        <v>0</v>
      </c>
      <c r="AN224" s="365">
        <f t="shared" ref="AN224:AO224" si="200">+AN223-AH222</f>
        <v>0</v>
      </c>
      <c r="AO224" s="365">
        <f t="shared" si="200"/>
        <v>0</v>
      </c>
    </row>
    <row r="225" spans="1:41" ht="60" hidden="1">
      <c r="A225" s="8">
        <f t="shared" ref="A225:A236" si="201">+A224+1</f>
        <v>3</v>
      </c>
      <c r="B225" s="341" t="s">
        <v>448</v>
      </c>
      <c r="C225" s="8" t="s">
        <v>449</v>
      </c>
      <c r="D225" s="8"/>
      <c r="E225" s="22" t="s">
        <v>450</v>
      </c>
      <c r="F225" s="8" t="s">
        <v>53</v>
      </c>
      <c r="G225" s="445">
        <f t="shared" si="156"/>
        <v>1365</v>
      </c>
      <c r="H225" s="445">
        <v>1300</v>
      </c>
      <c r="I225" s="445">
        <v>65</v>
      </c>
      <c r="J225" s="451"/>
      <c r="K225" s="483">
        <f>+L225+M225</f>
        <v>63.799999999999955</v>
      </c>
      <c r="L225" s="451">
        <f>+H225-R225</f>
        <v>63.799999999999955</v>
      </c>
      <c r="M225" s="451"/>
      <c r="N225" s="483">
        <f>+O225+P225</f>
        <v>6.9000000000000057</v>
      </c>
      <c r="O225" s="451"/>
      <c r="P225" s="451">
        <f>+S225-I225</f>
        <v>6.9000000000000057</v>
      </c>
      <c r="Q225" s="466">
        <f t="shared" si="197"/>
        <v>1308.1000000000001</v>
      </c>
      <c r="R225" s="451">
        <v>1236.2</v>
      </c>
      <c r="S225" s="451">
        <v>71.900000000000006</v>
      </c>
      <c r="T225" s="451"/>
      <c r="U225" s="451">
        <f t="shared" si="198"/>
        <v>1308.1000000000001</v>
      </c>
      <c r="V225" s="451">
        <f t="shared" si="199"/>
        <v>1236.2</v>
      </c>
      <c r="W225" s="451">
        <f t="shared" si="199"/>
        <v>71.900000000000006</v>
      </c>
      <c r="X225" s="445">
        <f t="shared" si="157"/>
        <v>0</v>
      </c>
      <c r="Y225" s="451"/>
      <c r="Z225" s="451"/>
      <c r="AA225" s="451"/>
      <c r="AB225" s="483"/>
      <c r="AC225" s="483"/>
      <c r="AD225" s="451">
        <f>+AE225+AF225</f>
        <v>1308.1000000000001</v>
      </c>
      <c r="AE225" s="483">
        <v>1236.2</v>
      </c>
      <c r="AF225" s="483">
        <v>71.900000000000006</v>
      </c>
      <c r="AG225" s="451"/>
      <c r="AH225" s="483"/>
      <c r="AI225" s="483"/>
      <c r="AJ225" s="451"/>
      <c r="AK225" s="451"/>
      <c r="AL225" s="15"/>
      <c r="AM225" s="506"/>
    </row>
    <row r="226" spans="1:41" ht="75" hidden="1">
      <c r="A226" s="8">
        <f t="shared" si="201"/>
        <v>4</v>
      </c>
      <c r="B226" s="328" t="s">
        <v>451</v>
      </c>
      <c r="C226" s="8" t="s">
        <v>452</v>
      </c>
      <c r="D226" s="8"/>
      <c r="E226" s="8" t="s">
        <v>94</v>
      </c>
      <c r="F226" s="8" t="s">
        <v>53</v>
      </c>
      <c r="G226" s="445">
        <f t="shared" si="156"/>
        <v>420</v>
      </c>
      <c r="H226" s="445">
        <v>400</v>
      </c>
      <c r="I226" s="445">
        <v>20</v>
      </c>
      <c r="J226" s="451">
        <v>0</v>
      </c>
      <c r="K226" s="483">
        <f>+L226+M226</f>
        <v>20.25</v>
      </c>
      <c r="L226" s="451">
        <f t="shared" ref="L226:M234" si="202">+H226-R226</f>
        <v>20.25</v>
      </c>
      <c r="M226" s="451"/>
      <c r="N226" s="483">
        <f>+O226+P226</f>
        <v>0.5</v>
      </c>
      <c r="O226" s="451"/>
      <c r="P226" s="451">
        <f>+S226-I226</f>
        <v>0.5</v>
      </c>
      <c r="Q226" s="466">
        <f t="shared" si="197"/>
        <v>400.25</v>
      </c>
      <c r="R226" s="451">
        <v>379.75</v>
      </c>
      <c r="S226" s="451">
        <v>20.5</v>
      </c>
      <c r="T226" s="451"/>
      <c r="U226" s="451">
        <f t="shared" si="198"/>
        <v>400.25</v>
      </c>
      <c r="V226" s="451">
        <f t="shared" si="199"/>
        <v>379.75</v>
      </c>
      <c r="W226" s="451">
        <f t="shared" si="199"/>
        <v>20.5</v>
      </c>
      <c r="X226" s="445">
        <f t="shared" si="157"/>
        <v>0</v>
      </c>
      <c r="Y226" s="451"/>
      <c r="Z226" s="451"/>
      <c r="AA226" s="451">
        <f>+AB226+AC226</f>
        <v>400.25</v>
      </c>
      <c r="AB226" s="483">
        <v>379.75</v>
      </c>
      <c r="AC226" s="483">
        <v>20.5</v>
      </c>
      <c r="AD226" s="451"/>
      <c r="AE226" s="483"/>
      <c r="AF226" s="483"/>
      <c r="AG226" s="451"/>
      <c r="AH226" s="483"/>
      <c r="AI226" s="483"/>
      <c r="AJ226" s="451"/>
      <c r="AK226" s="451"/>
      <c r="AL226" s="15"/>
    </row>
    <row r="227" spans="1:41" ht="60" hidden="1">
      <c r="A227" s="8">
        <f t="shared" si="201"/>
        <v>5</v>
      </c>
      <c r="B227" s="341" t="s">
        <v>453</v>
      </c>
      <c r="C227" s="8" t="s">
        <v>454</v>
      </c>
      <c r="D227" s="8"/>
      <c r="E227" s="22" t="s">
        <v>455</v>
      </c>
      <c r="F227" s="8" t="s">
        <v>53</v>
      </c>
      <c r="G227" s="445">
        <f t="shared" si="156"/>
        <v>1050</v>
      </c>
      <c r="H227" s="445">
        <v>1000</v>
      </c>
      <c r="I227" s="445">
        <v>50</v>
      </c>
      <c r="J227" s="451">
        <v>0</v>
      </c>
      <c r="K227" s="483">
        <f>+L227+M227</f>
        <v>333.3</v>
      </c>
      <c r="L227" s="451">
        <f t="shared" si="202"/>
        <v>320</v>
      </c>
      <c r="M227" s="451">
        <f t="shared" si="202"/>
        <v>13.299999999999997</v>
      </c>
      <c r="N227" s="483"/>
      <c r="O227" s="451"/>
      <c r="P227" s="451"/>
      <c r="Q227" s="466">
        <f t="shared" si="197"/>
        <v>716.7</v>
      </c>
      <c r="R227" s="451">
        <v>680</v>
      </c>
      <c r="S227" s="451">
        <v>36.700000000000003</v>
      </c>
      <c r="T227" s="451"/>
      <c r="U227" s="451">
        <f t="shared" si="198"/>
        <v>716.7</v>
      </c>
      <c r="V227" s="451">
        <f t="shared" si="199"/>
        <v>680</v>
      </c>
      <c r="W227" s="451">
        <f t="shared" si="199"/>
        <v>36.700000000000003</v>
      </c>
      <c r="X227" s="445">
        <f t="shared" si="157"/>
        <v>0</v>
      </c>
      <c r="Y227" s="451"/>
      <c r="Z227" s="451"/>
      <c r="AA227" s="451">
        <f>+AB227+AC227</f>
        <v>716.7</v>
      </c>
      <c r="AB227" s="483">
        <v>680</v>
      </c>
      <c r="AC227" s="483">
        <v>36.700000000000003</v>
      </c>
      <c r="AD227" s="451"/>
      <c r="AE227" s="483"/>
      <c r="AF227" s="483"/>
      <c r="AG227" s="451"/>
      <c r="AH227" s="483"/>
      <c r="AI227" s="483"/>
      <c r="AJ227" s="451"/>
      <c r="AK227" s="451"/>
      <c r="AL227" s="15"/>
    </row>
    <row r="228" spans="1:41" ht="75" hidden="1">
      <c r="A228" s="8">
        <f t="shared" si="201"/>
        <v>6</v>
      </c>
      <c r="B228" s="328" t="s">
        <v>456</v>
      </c>
      <c r="C228" s="8" t="s">
        <v>454</v>
      </c>
      <c r="D228" s="8"/>
      <c r="E228" s="8" t="s">
        <v>94</v>
      </c>
      <c r="F228" s="8" t="s">
        <v>54</v>
      </c>
      <c r="G228" s="445">
        <f t="shared" si="156"/>
        <v>420</v>
      </c>
      <c r="H228" s="445">
        <v>400</v>
      </c>
      <c r="I228" s="445">
        <v>20</v>
      </c>
      <c r="J228" s="451">
        <v>0</v>
      </c>
      <c r="K228" s="483">
        <f>+L228+M228</f>
        <v>3.1000000000000227</v>
      </c>
      <c r="L228" s="451">
        <f t="shared" si="202"/>
        <v>3.1000000000000227</v>
      </c>
      <c r="M228" s="451"/>
      <c r="N228" s="483">
        <f>+O228+P228</f>
        <v>3.1000000000000014</v>
      </c>
      <c r="O228" s="451"/>
      <c r="P228" s="451">
        <f>+S228-I228</f>
        <v>3.1000000000000014</v>
      </c>
      <c r="Q228" s="466">
        <f t="shared" si="197"/>
        <v>420</v>
      </c>
      <c r="R228" s="451">
        <v>396.9</v>
      </c>
      <c r="S228" s="451">
        <v>23.1</v>
      </c>
      <c r="T228" s="451"/>
      <c r="U228" s="451">
        <f t="shared" si="198"/>
        <v>420</v>
      </c>
      <c r="V228" s="451">
        <f t="shared" si="199"/>
        <v>396.9</v>
      </c>
      <c r="W228" s="451">
        <f t="shared" si="199"/>
        <v>23.1</v>
      </c>
      <c r="X228" s="445">
        <f t="shared" si="157"/>
        <v>0</v>
      </c>
      <c r="Y228" s="451"/>
      <c r="Z228" s="451"/>
      <c r="AA228" s="451"/>
      <c r="AB228" s="483"/>
      <c r="AC228" s="483"/>
      <c r="AD228" s="451">
        <f>+AE228+AF228</f>
        <v>420</v>
      </c>
      <c r="AE228" s="483">
        <v>396.9</v>
      </c>
      <c r="AF228" s="483">
        <v>23.1</v>
      </c>
      <c r="AG228" s="451"/>
      <c r="AH228" s="483"/>
      <c r="AI228" s="483"/>
      <c r="AJ228" s="451"/>
      <c r="AK228" s="451"/>
      <c r="AL228" s="15"/>
    </row>
    <row r="229" spans="1:41" ht="60" hidden="1">
      <c r="A229" s="8">
        <f t="shared" si="201"/>
        <v>7</v>
      </c>
      <c r="B229" s="341" t="s">
        <v>457</v>
      </c>
      <c r="C229" s="8" t="s">
        <v>449</v>
      </c>
      <c r="D229" s="8"/>
      <c r="E229" s="22" t="s">
        <v>458</v>
      </c>
      <c r="F229" s="8" t="s">
        <v>54</v>
      </c>
      <c r="G229" s="445">
        <f t="shared" si="156"/>
        <v>1155</v>
      </c>
      <c r="H229" s="445">
        <v>1100</v>
      </c>
      <c r="I229" s="445">
        <v>55</v>
      </c>
      <c r="J229" s="451">
        <v>0</v>
      </c>
      <c r="K229" s="483"/>
      <c r="L229" s="451"/>
      <c r="M229" s="451"/>
      <c r="N229" s="483">
        <f>+O229+P229</f>
        <v>173.04000000000002</v>
      </c>
      <c r="O229" s="451">
        <f>+R229-H229</f>
        <v>160</v>
      </c>
      <c r="P229" s="451">
        <f>+S229-I229</f>
        <v>13.040000000000006</v>
      </c>
      <c r="Q229" s="466">
        <f t="shared" si="197"/>
        <v>1328.04</v>
      </c>
      <c r="R229" s="451">
        <v>1260</v>
      </c>
      <c r="S229" s="451">
        <v>68.040000000000006</v>
      </c>
      <c r="T229" s="451"/>
      <c r="U229" s="451">
        <f t="shared" si="198"/>
        <v>1328.04</v>
      </c>
      <c r="V229" s="451">
        <f t="shared" si="199"/>
        <v>1260</v>
      </c>
      <c r="W229" s="451">
        <f t="shared" si="199"/>
        <v>68.040000000000006</v>
      </c>
      <c r="X229" s="445">
        <f t="shared" si="157"/>
        <v>0</v>
      </c>
      <c r="Y229" s="451"/>
      <c r="Z229" s="451"/>
      <c r="AA229" s="451">
        <f>+AB229+AC229</f>
        <v>1328.04</v>
      </c>
      <c r="AB229" s="483">
        <v>1260</v>
      </c>
      <c r="AC229" s="483">
        <v>68.040000000000006</v>
      </c>
      <c r="AD229" s="451"/>
      <c r="AE229" s="483"/>
      <c r="AF229" s="483"/>
      <c r="AG229" s="451"/>
      <c r="AH229" s="483"/>
      <c r="AI229" s="483"/>
      <c r="AJ229" s="451"/>
      <c r="AK229" s="451"/>
      <c r="AL229" s="15"/>
    </row>
    <row r="230" spans="1:41" ht="60" hidden="1">
      <c r="A230" s="8">
        <f>+A232+1</f>
        <v>10</v>
      </c>
      <c r="B230" s="328" t="s">
        <v>464</v>
      </c>
      <c r="C230" s="8" t="s">
        <v>463</v>
      </c>
      <c r="D230" s="8"/>
      <c r="E230" s="22" t="s">
        <v>461</v>
      </c>
      <c r="F230" s="8" t="s">
        <v>55</v>
      </c>
      <c r="G230" s="445">
        <f t="shared" ref="G230:G235" si="203">H230+I230</f>
        <v>822.87</v>
      </c>
      <c r="H230" s="445">
        <v>783.69</v>
      </c>
      <c r="I230" s="445">
        <v>39.18</v>
      </c>
      <c r="J230" s="451">
        <v>0</v>
      </c>
      <c r="K230" s="483">
        <f>+L230+M230</f>
        <v>74.8900000000001</v>
      </c>
      <c r="L230" s="451">
        <f t="shared" si="202"/>
        <v>74.8900000000001</v>
      </c>
      <c r="M230" s="451"/>
      <c r="N230" s="483">
        <f>+O230+P230</f>
        <v>2.0200000000000031</v>
      </c>
      <c r="O230" s="451"/>
      <c r="P230" s="451">
        <f>+S230-I230</f>
        <v>2.0200000000000031</v>
      </c>
      <c r="Q230" s="466">
        <f t="shared" si="197"/>
        <v>750</v>
      </c>
      <c r="R230" s="451">
        <v>708.8</v>
      </c>
      <c r="S230" s="451">
        <v>41.2</v>
      </c>
      <c r="T230" s="451"/>
      <c r="U230" s="451">
        <f t="shared" si="198"/>
        <v>750</v>
      </c>
      <c r="V230" s="451">
        <f t="shared" si="199"/>
        <v>708.8</v>
      </c>
      <c r="W230" s="451">
        <f t="shared" si="199"/>
        <v>41.2</v>
      </c>
      <c r="X230" s="445">
        <f t="shared" ref="X230:X235" si="204">Y230+Z230</f>
        <v>0</v>
      </c>
      <c r="Y230" s="451"/>
      <c r="Z230" s="451"/>
      <c r="AA230" s="451"/>
      <c r="AB230" s="483"/>
      <c r="AC230" s="483"/>
      <c r="AD230" s="451">
        <f>+AE230+AF230</f>
        <v>750</v>
      </c>
      <c r="AE230" s="483">
        <v>708.8</v>
      </c>
      <c r="AF230" s="483">
        <v>41.2</v>
      </c>
      <c r="AG230" s="451"/>
      <c r="AH230" s="483"/>
      <c r="AI230" s="483"/>
      <c r="AJ230" s="451"/>
      <c r="AK230" s="451"/>
      <c r="AL230" s="15"/>
    </row>
    <row r="231" spans="1:41" ht="60" hidden="1">
      <c r="A231" s="8">
        <f>+A229+1</f>
        <v>8</v>
      </c>
      <c r="B231" s="328" t="s">
        <v>459</v>
      </c>
      <c r="C231" s="8" t="s">
        <v>460</v>
      </c>
      <c r="D231" s="8"/>
      <c r="E231" s="22" t="s">
        <v>461</v>
      </c>
      <c r="F231" s="8" t="s">
        <v>54</v>
      </c>
      <c r="G231" s="445">
        <f>H231+I231</f>
        <v>840</v>
      </c>
      <c r="H231" s="445">
        <v>800</v>
      </c>
      <c r="I231" s="445">
        <v>40</v>
      </c>
      <c r="J231" s="451">
        <v>0</v>
      </c>
      <c r="K231" s="483">
        <f>+L231+M231</f>
        <v>140.00000000000006</v>
      </c>
      <c r="L231" s="451">
        <f t="shared" si="202"/>
        <v>127.70000000000005</v>
      </c>
      <c r="M231" s="451">
        <f t="shared" si="202"/>
        <v>12.3</v>
      </c>
      <c r="N231" s="483"/>
      <c r="O231" s="451"/>
      <c r="P231" s="451"/>
      <c r="Q231" s="451">
        <f>+R231+S231</f>
        <v>700</v>
      </c>
      <c r="R231" s="483">
        <v>672.3</v>
      </c>
      <c r="S231" s="483">
        <v>27.7</v>
      </c>
      <c r="T231" s="451"/>
      <c r="U231" s="451">
        <f>+V231+W231</f>
        <v>0</v>
      </c>
      <c r="V231" s="451">
        <f>+Y231+AB231+AE231</f>
        <v>0</v>
      </c>
      <c r="W231" s="451">
        <f>+Z231+AC231+AF231</f>
        <v>0</v>
      </c>
      <c r="X231" s="445">
        <f>Y231+Z231</f>
        <v>0</v>
      </c>
      <c r="Y231" s="451"/>
      <c r="Z231" s="451"/>
      <c r="AA231" s="451"/>
      <c r="AB231" s="483"/>
      <c r="AC231" s="483"/>
      <c r="AD231" s="451"/>
      <c r="AE231" s="483"/>
      <c r="AF231" s="483"/>
      <c r="AG231" s="451">
        <f>+AH231+AI231</f>
        <v>700</v>
      </c>
      <c r="AH231" s="483">
        <v>672.3</v>
      </c>
      <c r="AI231" s="483">
        <v>27.7</v>
      </c>
      <c r="AJ231" s="451"/>
      <c r="AK231" s="451"/>
      <c r="AL231" s="15"/>
    </row>
    <row r="232" spans="1:41" ht="75" hidden="1">
      <c r="A232" s="8">
        <f>+A231+1</f>
        <v>9</v>
      </c>
      <c r="B232" s="328" t="s">
        <v>462</v>
      </c>
      <c r="C232" s="8" t="s">
        <v>463</v>
      </c>
      <c r="D232" s="8"/>
      <c r="E232" s="8" t="s">
        <v>94</v>
      </c>
      <c r="F232" s="8" t="s">
        <v>54</v>
      </c>
      <c r="G232" s="445">
        <f>H232+I232</f>
        <v>420</v>
      </c>
      <c r="H232" s="445">
        <v>400</v>
      </c>
      <c r="I232" s="445">
        <v>20</v>
      </c>
      <c r="J232" s="451">
        <v>0</v>
      </c>
      <c r="K232" s="483">
        <f>+L232+M232</f>
        <v>3.379999999999999</v>
      </c>
      <c r="L232" s="451"/>
      <c r="M232" s="451">
        <f t="shared" si="202"/>
        <v>3.379999999999999</v>
      </c>
      <c r="N232" s="483">
        <f>+O232+P232</f>
        <v>3.3799999999999955</v>
      </c>
      <c r="O232" s="451">
        <f>+R232-H232</f>
        <v>3.3799999999999955</v>
      </c>
      <c r="P232" s="451"/>
      <c r="Q232" s="445">
        <f t="shared" ref="Q232:Q234" si="205">R232+S232</f>
        <v>420</v>
      </c>
      <c r="R232" s="445">
        <v>403.38</v>
      </c>
      <c r="S232" s="445">
        <v>16.62</v>
      </c>
      <c r="T232" s="451"/>
      <c r="U232" s="451">
        <f>+V232+W232</f>
        <v>0</v>
      </c>
      <c r="V232" s="451">
        <f>+Y232+AB232+AE232</f>
        <v>0</v>
      </c>
      <c r="W232" s="451">
        <f>+Z232+AC232+AF232</f>
        <v>0</v>
      </c>
      <c r="X232" s="445">
        <f>Y232+Z232</f>
        <v>0</v>
      </c>
      <c r="Y232" s="451"/>
      <c r="Z232" s="451"/>
      <c r="AA232" s="451"/>
      <c r="AB232" s="483"/>
      <c r="AC232" s="483"/>
      <c r="AD232" s="451"/>
      <c r="AE232" s="483"/>
      <c r="AF232" s="483"/>
      <c r="AG232" s="445">
        <f t="shared" ref="AG232:AG234" si="206">AH232+AI232</f>
        <v>420</v>
      </c>
      <c r="AH232" s="445">
        <v>403.38</v>
      </c>
      <c r="AI232" s="445">
        <v>16.62</v>
      </c>
      <c r="AJ232" s="451"/>
      <c r="AK232" s="451"/>
      <c r="AL232" s="15"/>
    </row>
    <row r="233" spans="1:41" ht="60" hidden="1">
      <c r="A233" s="8">
        <f>+A230+1</f>
        <v>11</v>
      </c>
      <c r="B233" s="328" t="s">
        <v>465</v>
      </c>
      <c r="C233" s="8" t="s">
        <v>454</v>
      </c>
      <c r="D233" s="8"/>
      <c r="E233" s="22" t="s">
        <v>458</v>
      </c>
      <c r="F233" s="8" t="s">
        <v>55</v>
      </c>
      <c r="G233" s="445">
        <f t="shared" si="203"/>
        <v>1260</v>
      </c>
      <c r="H233" s="445">
        <v>1200</v>
      </c>
      <c r="I233" s="445">
        <v>60</v>
      </c>
      <c r="J233" s="451">
        <v>0</v>
      </c>
      <c r="K233" s="483">
        <f>+L233+M233</f>
        <v>10.149999999999999</v>
      </c>
      <c r="L233" s="451"/>
      <c r="M233" s="451">
        <f t="shared" si="202"/>
        <v>10.149999999999999</v>
      </c>
      <c r="N233" s="483">
        <f>+O233+P233</f>
        <v>10.150000000000091</v>
      </c>
      <c r="O233" s="451">
        <f>+R233-H233</f>
        <v>10.150000000000091</v>
      </c>
      <c r="P233" s="451"/>
      <c r="Q233" s="445">
        <f t="shared" si="205"/>
        <v>1260</v>
      </c>
      <c r="R233" s="445">
        <v>1210.1500000000001</v>
      </c>
      <c r="S233" s="445">
        <v>49.85</v>
      </c>
      <c r="T233" s="451"/>
      <c r="U233" s="451">
        <f t="shared" si="198"/>
        <v>0</v>
      </c>
      <c r="V233" s="451">
        <f>+Y233+AB233+AE233</f>
        <v>0</v>
      </c>
      <c r="W233" s="451">
        <f t="shared" si="199"/>
        <v>0</v>
      </c>
      <c r="X233" s="445">
        <f t="shared" si="204"/>
        <v>0</v>
      </c>
      <c r="Y233" s="451"/>
      <c r="Z233" s="451"/>
      <c r="AA233" s="451"/>
      <c r="AB233" s="483"/>
      <c r="AC233" s="483"/>
      <c r="AD233" s="451"/>
      <c r="AE233" s="483"/>
      <c r="AF233" s="483"/>
      <c r="AG233" s="445">
        <f t="shared" si="206"/>
        <v>1260</v>
      </c>
      <c r="AH233" s="445">
        <v>1210.1500000000001</v>
      </c>
      <c r="AI233" s="445">
        <v>49.85</v>
      </c>
      <c r="AJ233" s="451"/>
      <c r="AK233" s="451"/>
      <c r="AL233" s="15"/>
    </row>
    <row r="234" spans="1:41" ht="60" hidden="1">
      <c r="A234" s="8">
        <f t="shared" si="201"/>
        <v>12</v>
      </c>
      <c r="B234" s="328" t="s">
        <v>1154</v>
      </c>
      <c r="C234" s="8" t="s">
        <v>454</v>
      </c>
      <c r="D234" s="8"/>
      <c r="E234" s="22" t="s">
        <v>467</v>
      </c>
      <c r="F234" s="8" t="s">
        <v>55</v>
      </c>
      <c r="G234" s="445">
        <f t="shared" si="203"/>
        <v>315</v>
      </c>
      <c r="H234" s="445">
        <v>300</v>
      </c>
      <c r="I234" s="445">
        <v>15</v>
      </c>
      <c r="J234" s="451">
        <v>0</v>
      </c>
      <c r="K234" s="483">
        <f>+L234+M234</f>
        <v>2.5399999999999991</v>
      </c>
      <c r="L234" s="451"/>
      <c r="M234" s="451">
        <f t="shared" si="202"/>
        <v>2.5399999999999991</v>
      </c>
      <c r="N234" s="483">
        <f>+O234+P234</f>
        <v>2.5400000000000205</v>
      </c>
      <c r="O234" s="451">
        <f>+R234-H234</f>
        <v>2.5400000000000205</v>
      </c>
      <c r="P234" s="451"/>
      <c r="Q234" s="445">
        <f t="shared" si="205"/>
        <v>315</v>
      </c>
      <c r="R234" s="445">
        <v>302.54000000000002</v>
      </c>
      <c r="S234" s="445">
        <v>12.46</v>
      </c>
      <c r="T234" s="451"/>
      <c r="U234" s="451">
        <f t="shared" si="198"/>
        <v>0</v>
      </c>
      <c r="V234" s="451">
        <f t="shared" si="199"/>
        <v>0</v>
      </c>
      <c r="W234" s="451">
        <f t="shared" si="199"/>
        <v>0</v>
      </c>
      <c r="X234" s="445">
        <f t="shared" si="204"/>
        <v>0</v>
      </c>
      <c r="Y234" s="451"/>
      <c r="Z234" s="451"/>
      <c r="AA234" s="451"/>
      <c r="AB234" s="483"/>
      <c r="AC234" s="483"/>
      <c r="AD234" s="451"/>
      <c r="AE234" s="483"/>
      <c r="AF234" s="483"/>
      <c r="AG234" s="445">
        <f t="shared" si="206"/>
        <v>315</v>
      </c>
      <c r="AH234" s="445">
        <v>302.54000000000002</v>
      </c>
      <c r="AI234" s="445">
        <v>12.46</v>
      </c>
      <c r="AJ234" s="451"/>
      <c r="AK234" s="451"/>
      <c r="AL234" s="15"/>
    </row>
    <row r="235" spans="1:41" ht="60" hidden="1">
      <c r="A235" s="8">
        <f t="shared" si="201"/>
        <v>13</v>
      </c>
      <c r="B235" s="328" t="s">
        <v>1155</v>
      </c>
      <c r="C235" s="8" t="s">
        <v>1156</v>
      </c>
      <c r="D235" s="8"/>
      <c r="E235" s="22"/>
      <c r="F235" s="8" t="s">
        <v>55</v>
      </c>
      <c r="G235" s="445">
        <f t="shared" si="203"/>
        <v>210</v>
      </c>
      <c r="H235" s="445">
        <v>200</v>
      </c>
      <c r="I235" s="445">
        <v>10</v>
      </c>
      <c r="J235" s="451">
        <v>0</v>
      </c>
      <c r="K235" s="483"/>
      <c r="L235" s="451"/>
      <c r="M235" s="451"/>
      <c r="N235" s="483">
        <f>+O235+P235</f>
        <v>149.78000000000003</v>
      </c>
      <c r="O235" s="451">
        <f>+R235-H235</f>
        <v>145.54000000000002</v>
      </c>
      <c r="P235" s="451">
        <f>+S235-I235</f>
        <v>4.24</v>
      </c>
      <c r="Q235" s="451">
        <f>+R235+S235</f>
        <v>359.78000000000003</v>
      </c>
      <c r="R235" s="483">
        <v>345.54</v>
      </c>
      <c r="S235" s="483">
        <v>14.24</v>
      </c>
      <c r="T235" s="451"/>
      <c r="U235" s="451">
        <f t="shared" si="198"/>
        <v>0</v>
      </c>
      <c r="V235" s="451">
        <f t="shared" si="199"/>
        <v>0</v>
      </c>
      <c r="W235" s="451">
        <f t="shared" si="199"/>
        <v>0</v>
      </c>
      <c r="X235" s="445">
        <f t="shared" si="204"/>
        <v>0</v>
      </c>
      <c r="Y235" s="451"/>
      <c r="Z235" s="451"/>
      <c r="AA235" s="451"/>
      <c r="AB235" s="483"/>
      <c r="AC235" s="483"/>
      <c r="AD235" s="451"/>
      <c r="AE235" s="483"/>
      <c r="AF235" s="483"/>
      <c r="AG235" s="451">
        <f>+AH235+AI235</f>
        <v>359.78000000000003</v>
      </c>
      <c r="AH235" s="483">
        <v>345.54</v>
      </c>
      <c r="AI235" s="483">
        <v>14.24</v>
      </c>
      <c r="AJ235" s="451"/>
      <c r="AK235" s="451"/>
      <c r="AL235" s="15"/>
    </row>
    <row r="236" spans="1:41" ht="45" hidden="1">
      <c r="A236" s="8">
        <f t="shared" si="201"/>
        <v>14</v>
      </c>
      <c r="B236" s="328" t="s">
        <v>1157</v>
      </c>
      <c r="C236" s="8" t="s">
        <v>445</v>
      </c>
      <c r="D236" s="8" t="s">
        <v>55</v>
      </c>
      <c r="E236" s="22"/>
      <c r="F236" s="8" t="s">
        <v>55</v>
      </c>
      <c r="G236" s="445"/>
      <c r="H236" s="445"/>
      <c r="I236" s="445"/>
      <c r="J236" s="451"/>
      <c r="K236" s="483"/>
      <c r="L236" s="451"/>
      <c r="M236" s="451"/>
      <c r="N236" s="451">
        <f>+O236+P236</f>
        <v>300</v>
      </c>
      <c r="O236" s="483">
        <v>288.13</v>
      </c>
      <c r="P236" s="483">
        <v>11.87</v>
      </c>
      <c r="Q236" s="451">
        <f>+R236+S236</f>
        <v>300</v>
      </c>
      <c r="R236" s="483">
        <v>288.13</v>
      </c>
      <c r="S236" s="483">
        <v>11.87</v>
      </c>
      <c r="T236" s="533" t="s">
        <v>1166</v>
      </c>
      <c r="U236" s="451"/>
      <c r="V236" s="451"/>
      <c r="W236" s="451"/>
      <c r="X236" s="445"/>
      <c r="Y236" s="451"/>
      <c r="Z236" s="451"/>
      <c r="AA236" s="451"/>
      <c r="AB236" s="483"/>
      <c r="AC236" s="483"/>
      <c r="AD236" s="451"/>
      <c r="AE236" s="483"/>
      <c r="AF236" s="483"/>
      <c r="AG236" s="451">
        <f>+AH236+AI236</f>
        <v>300</v>
      </c>
      <c r="AH236" s="483">
        <v>288.13</v>
      </c>
      <c r="AI236" s="483">
        <v>11.87</v>
      </c>
      <c r="AJ236" s="451"/>
      <c r="AK236" s="451"/>
      <c r="AL236" s="15"/>
    </row>
    <row r="237" spans="1:41" s="14" customFormat="1" ht="23.25" customHeight="1">
      <c r="A237" s="424" t="s">
        <v>1002</v>
      </c>
      <c r="B237" s="518" t="s">
        <v>472</v>
      </c>
      <c r="C237" s="418"/>
      <c r="D237" s="418"/>
      <c r="E237" s="417">
        <v>0</v>
      </c>
      <c r="F237" s="417"/>
      <c r="G237" s="446">
        <f>SUM(G238:G250)</f>
        <v>10098.000000000002</v>
      </c>
      <c r="H237" s="446">
        <f t="shared" ref="H237:S237" si="207">SUM(H238:H250)</f>
        <v>9617.14</v>
      </c>
      <c r="I237" s="446">
        <f t="shared" si="207"/>
        <v>480.85999999999996</v>
      </c>
      <c r="J237" s="446">
        <f t="shared" si="207"/>
        <v>0</v>
      </c>
      <c r="K237" s="446">
        <f t="shared" si="207"/>
        <v>456.67160000000007</v>
      </c>
      <c r="L237" s="446">
        <f t="shared" si="207"/>
        <v>417.67160000000007</v>
      </c>
      <c r="M237" s="446">
        <f t="shared" si="207"/>
        <v>39</v>
      </c>
      <c r="N237" s="446">
        <f t="shared" si="207"/>
        <v>456.67160000000013</v>
      </c>
      <c r="O237" s="446">
        <f t="shared" si="207"/>
        <v>417.67160000000013</v>
      </c>
      <c r="P237" s="446">
        <f t="shared" si="207"/>
        <v>38.999999999999993</v>
      </c>
      <c r="Q237" s="446">
        <f t="shared" si="207"/>
        <v>10098</v>
      </c>
      <c r="R237" s="446">
        <f t="shared" si="207"/>
        <v>9617.14</v>
      </c>
      <c r="S237" s="446">
        <f t="shared" si="207"/>
        <v>480.85999999999996</v>
      </c>
      <c r="T237" s="446"/>
      <c r="U237" s="446">
        <f t="shared" ref="U237:AI237" si="208">SUM(U238:U250)</f>
        <v>6733.7983999999997</v>
      </c>
      <c r="V237" s="446">
        <f t="shared" si="208"/>
        <v>6385.6484</v>
      </c>
      <c r="W237" s="446">
        <f t="shared" si="208"/>
        <v>348.15</v>
      </c>
      <c r="X237" s="446">
        <f t="shared" si="208"/>
        <v>1817.46</v>
      </c>
      <c r="Y237" s="446">
        <f t="shared" si="208"/>
        <v>1730.91</v>
      </c>
      <c r="Z237" s="446">
        <f t="shared" si="208"/>
        <v>86.55</v>
      </c>
      <c r="AA237" s="446">
        <f t="shared" si="208"/>
        <v>2437.3383999999996</v>
      </c>
      <c r="AB237" s="446">
        <f t="shared" si="208"/>
        <v>2312.0383999999999</v>
      </c>
      <c r="AC237" s="446">
        <f t="shared" si="208"/>
        <v>125.3</v>
      </c>
      <c r="AD237" s="446">
        <f t="shared" si="208"/>
        <v>2479</v>
      </c>
      <c r="AE237" s="446">
        <f t="shared" si="208"/>
        <v>2342.6999999999998</v>
      </c>
      <c r="AF237" s="446">
        <f t="shared" si="208"/>
        <v>136.30000000000001</v>
      </c>
      <c r="AG237" s="446">
        <f t="shared" si="208"/>
        <v>3364.2015999999999</v>
      </c>
      <c r="AH237" s="446">
        <f t="shared" si="208"/>
        <v>3231.4915999999998</v>
      </c>
      <c r="AI237" s="446">
        <f t="shared" si="208"/>
        <v>132.71</v>
      </c>
      <c r="AJ237" s="446"/>
      <c r="AK237" s="446">
        <f>SUM(AK238:AK250)</f>
        <v>0</v>
      </c>
      <c r="AL237" s="16"/>
      <c r="AM237" s="368">
        <f>+'NĂM 2022'!K76+'NĂM 2023'!N92+'NĂM 2024'!J85+'NĂM 2025'!J82</f>
        <v>10098</v>
      </c>
      <c r="AN237" s="368">
        <f>+'NĂM 2022'!L76+'NĂM 2023'!O92+'NĂM 2024'!K85+'NĂM 2025'!K82</f>
        <v>9617.14</v>
      </c>
      <c r="AO237" s="368">
        <f>+'NĂM 2022'!M76+'NĂM 2023'!P92+'NĂM 2024'!L85+'NĂM 2025'!L82</f>
        <v>480.86</v>
      </c>
    </row>
    <row r="238" spans="1:41" ht="75" hidden="1">
      <c r="A238" s="19">
        <v>1</v>
      </c>
      <c r="B238" s="343" t="s">
        <v>473</v>
      </c>
      <c r="C238" s="19" t="s">
        <v>474</v>
      </c>
      <c r="D238" s="19"/>
      <c r="E238" s="8" t="s">
        <v>475</v>
      </c>
      <c r="F238" s="8" t="s">
        <v>52</v>
      </c>
      <c r="G238" s="445">
        <f t="shared" ref="G238:G250" si="209">H238+I238</f>
        <v>1817.46</v>
      </c>
      <c r="H238" s="445">
        <v>1730.91</v>
      </c>
      <c r="I238" s="445">
        <v>86.55</v>
      </c>
      <c r="J238" s="451">
        <v>0</v>
      </c>
      <c r="K238" s="483">
        <f>+G238-Q238</f>
        <v>0</v>
      </c>
      <c r="L238" s="451"/>
      <c r="M238" s="451"/>
      <c r="N238" s="483"/>
      <c r="O238" s="451"/>
      <c r="P238" s="451"/>
      <c r="Q238" s="466">
        <v>1817.46</v>
      </c>
      <c r="R238" s="451">
        <v>1730.91</v>
      </c>
      <c r="S238" s="451">
        <v>86.55</v>
      </c>
      <c r="T238" s="451"/>
      <c r="U238" s="451">
        <f>+V238+W238</f>
        <v>1817.46</v>
      </c>
      <c r="V238" s="451">
        <f>+Y238+AB238+AE238</f>
        <v>1730.91</v>
      </c>
      <c r="W238" s="451">
        <f>+Z238+AC238+AF238</f>
        <v>86.55</v>
      </c>
      <c r="X238" s="445">
        <f t="shared" ref="X238:X250" si="210">Y238+Z238</f>
        <v>1817.46</v>
      </c>
      <c r="Y238" s="445">
        <v>1730.91</v>
      </c>
      <c r="Z238" s="445">
        <v>86.55</v>
      </c>
      <c r="AA238" s="445"/>
      <c r="AB238" s="481"/>
      <c r="AC238" s="481"/>
      <c r="AD238" s="445"/>
      <c r="AE238" s="481"/>
      <c r="AF238" s="481"/>
      <c r="AG238" s="445"/>
      <c r="AH238" s="481"/>
      <c r="AI238" s="481"/>
      <c r="AJ238" s="445"/>
      <c r="AK238" s="451"/>
      <c r="AL238" s="15"/>
      <c r="AM238" s="506">
        <f>+G237-U237</f>
        <v>3364.2016000000021</v>
      </c>
      <c r="AN238" s="506">
        <f>+H237-V237</f>
        <v>3231.4915999999994</v>
      </c>
      <c r="AO238" s="506">
        <f>+I237-W237</f>
        <v>132.70999999999998</v>
      </c>
    </row>
    <row r="239" spans="1:41" ht="75" hidden="1">
      <c r="A239" s="19">
        <f>+A238+1</f>
        <v>2</v>
      </c>
      <c r="B239" s="343" t="s">
        <v>476</v>
      </c>
      <c r="C239" s="19" t="s">
        <v>474</v>
      </c>
      <c r="D239" s="19"/>
      <c r="E239" s="8" t="s">
        <v>94</v>
      </c>
      <c r="F239" s="19" t="s">
        <v>53</v>
      </c>
      <c r="G239" s="445">
        <f t="shared" si="209"/>
        <v>468.3</v>
      </c>
      <c r="H239" s="445">
        <v>446</v>
      </c>
      <c r="I239" s="445">
        <v>22.3</v>
      </c>
      <c r="J239" s="451">
        <v>0</v>
      </c>
      <c r="K239" s="483"/>
      <c r="L239" s="451"/>
      <c r="M239" s="451"/>
      <c r="N239" s="483">
        <f>+O239+P239</f>
        <v>72.109999999999985</v>
      </c>
      <c r="O239" s="451">
        <f>+R239-H239</f>
        <v>64.259999999999991</v>
      </c>
      <c r="P239" s="451">
        <f>+S239-I239</f>
        <v>7.8499999999999979</v>
      </c>
      <c r="Q239" s="466">
        <v>540.41</v>
      </c>
      <c r="R239" s="451">
        <v>510.26</v>
      </c>
      <c r="S239" s="451">
        <v>30.15</v>
      </c>
      <c r="T239" s="451"/>
      <c r="U239" s="451">
        <f t="shared" ref="U239:U250" si="211">+V239+W239</f>
        <v>540.41</v>
      </c>
      <c r="V239" s="451">
        <f t="shared" ref="V239:W250" si="212">+Y239+AB239+AE239</f>
        <v>510.26</v>
      </c>
      <c r="W239" s="451">
        <f t="shared" si="212"/>
        <v>30.15</v>
      </c>
      <c r="X239" s="445">
        <f t="shared" si="210"/>
        <v>0</v>
      </c>
      <c r="Y239" s="451"/>
      <c r="Z239" s="451"/>
      <c r="AA239" s="451">
        <f>+AB239+AC239</f>
        <v>540.41</v>
      </c>
      <c r="AB239" s="483">
        <v>510.26</v>
      </c>
      <c r="AC239" s="483">
        <v>30.15</v>
      </c>
      <c r="AD239" s="451"/>
      <c r="AE239" s="483"/>
      <c r="AF239" s="483"/>
      <c r="AG239" s="451"/>
      <c r="AH239" s="483"/>
      <c r="AI239" s="483"/>
      <c r="AJ239" s="451"/>
      <c r="AK239" s="451"/>
      <c r="AL239" s="15"/>
      <c r="AM239" s="515">
        <f>+AM238-AG237</f>
        <v>0</v>
      </c>
      <c r="AN239" s="515">
        <f t="shared" ref="AN239:AO239" si="213">+AN238-AH237</f>
        <v>0</v>
      </c>
      <c r="AO239" s="515">
        <f t="shared" si="213"/>
        <v>0</v>
      </c>
    </row>
    <row r="240" spans="1:41" ht="75" hidden="1">
      <c r="A240" s="19">
        <f t="shared" ref="A240:A250" si="214">+A239+1</f>
        <v>3</v>
      </c>
      <c r="B240" s="343" t="s">
        <v>477</v>
      </c>
      <c r="C240" s="19" t="s">
        <v>478</v>
      </c>
      <c r="D240" s="19"/>
      <c r="E240" s="8" t="s">
        <v>94</v>
      </c>
      <c r="F240" s="19" t="s">
        <v>53</v>
      </c>
      <c r="G240" s="445">
        <f t="shared" si="209"/>
        <v>468.3</v>
      </c>
      <c r="H240" s="445">
        <v>446</v>
      </c>
      <c r="I240" s="445">
        <v>22.3</v>
      </c>
      <c r="J240" s="451">
        <v>0</v>
      </c>
      <c r="K240" s="483"/>
      <c r="L240" s="451"/>
      <c r="M240" s="451"/>
      <c r="N240" s="483">
        <f>+O240+P240</f>
        <v>72.099999999999994</v>
      </c>
      <c r="O240" s="451">
        <f>+R240-H240</f>
        <v>64.25</v>
      </c>
      <c r="P240" s="451">
        <f>+S240-I240</f>
        <v>7.8499999999999979</v>
      </c>
      <c r="Q240" s="466">
        <v>540.4</v>
      </c>
      <c r="R240" s="451">
        <v>510.25</v>
      </c>
      <c r="S240" s="451">
        <v>30.15</v>
      </c>
      <c r="T240" s="451"/>
      <c r="U240" s="451">
        <f t="shared" si="211"/>
        <v>540.4</v>
      </c>
      <c r="V240" s="451">
        <f t="shared" si="212"/>
        <v>510.25</v>
      </c>
      <c r="W240" s="451">
        <f t="shared" si="212"/>
        <v>30.15</v>
      </c>
      <c r="X240" s="445">
        <f t="shared" si="210"/>
        <v>0</v>
      </c>
      <c r="Y240" s="451"/>
      <c r="Z240" s="451"/>
      <c r="AA240" s="451">
        <f>+AB240+AC240</f>
        <v>540.4</v>
      </c>
      <c r="AB240" s="483">
        <v>510.25</v>
      </c>
      <c r="AC240" s="483">
        <v>30.15</v>
      </c>
      <c r="AD240" s="451"/>
      <c r="AE240" s="483"/>
      <c r="AF240" s="483"/>
      <c r="AG240" s="451"/>
      <c r="AH240" s="483"/>
      <c r="AI240" s="483"/>
      <c r="AJ240" s="451"/>
      <c r="AK240" s="451"/>
      <c r="AL240" s="15"/>
    </row>
    <row r="241" spans="1:41" ht="30" hidden="1">
      <c r="A241" s="19">
        <f t="shared" si="214"/>
        <v>4</v>
      </c>
      <c r="B241" s="343" t="s">
        <v>479</v>
      </c>
      <c r="C241" s="19" t="s">
        <v>472</v>
      </c>
      <c r="D241" s="19"/>
      <c r="E241" s="19" t="s">
        <v>480</v>
      </c>
      <c r="F241" s="19" t="s">
        <v>53</v>
      </c>
      <c r="G241" s="445">
        <f t="shared" si="209"/>
        <v>315</v>
      </c>
      <c r="H241" s="445">
        <v>300</v>
      </c>
      <c r="I241" s="445">
        <v>15</v>
      </c>
      <c r="J241" s="451">
        <v>0</v>
      </c>
      <c r="K241" s="483">
        <f>+L241+M241</f>
        <v>4.9309999999999832</v>
      </c>
      <c r="L241" s="451">
        <f>+H241-R241</f>
        <v>4.9309999999999832</v>
      </c>
      <c r="M241" s="451"/>
      <c r="N241" s="483"/>
      <c r="O241" s="451"/>
      <c r="P241" s="451"/>
      <c r="Q241" s="466">
        <v>310.06900000000002</v>
      </c>
      <c r="R241" s="451">
        <v>295.06900000000002</v>
      </c>
      <c r="S241" s="451">
        <v>15</v>
      </c>
      <c r="T241" s="451"/>
      <c r="U241" s="451">
        <f t="shared" si="211"/>
        <v>310.06900000000002</v>
      </c>
      <c r="V241" s="451">
        <f t="shared" si="212"/>
        <v>295.06900000000002</v>
      </c>
      <c r="W241" s="451">
        <f t="shared" si="212"/>
        <v>15</v>
      </c>
      <c r="X241" s="445">
        <f t="shared" si="210"/>
        <v>0</v>
      </c>
      <c r="Y241" s="451"/>
      <c r="Z241" s="451"/>
      <c r="AA241" s="451">
        <f>+AB241+AC241</f>
        <v>310.06900000000002</v>
      </c>
      <c r="AB241" s="483">
        <f>300-4.931</f>
        <v>295.06900000000002</v>
      </c>
      <c r="AC241" s="483">
        <v>15</v>
      </c>
      <c r="AD241" s="451"/>
      <c r="AE241" s="483"/>
      <c r="AF241" s="483"/>
      <c r="AG241" s="451"/>
      <c r="AH241" s="483"/>
      <c r="AI241" s="483"/>
      <c r="AJ241" s="451"/>
      <c r="AK241" s="451"/>
      <c r="AL241" s="15"/>
    </row>
    <row r="242" spans="1:41" ht="30" hidden="1">
      <c r="A242" s="19">
        <f t="shared" si="214"/>
        <v>5</v>
      </c>
      <c r="B242" s="343" t="s">
        <v>484</v>
      </c>
      <c r="C242" s="19" t="s">
        <v>482</v>
      </c>
      <c r="D242" s="19"/>
      <c r="E242" s="8" t="s">
        <v>483</v>
      </c>
      <c r="F242" s="19" t="s">
        <v>53</v>
      </c>
      <c r="G242" s="445">
        <f t="shared" si="209"/>
        <v>1050</v>
      </c>
      <c r="H242" s="445">
        <v>1000</v>
      </c>
      <c r="I242" s="445">
        <v>50</v>
      </c>
      <c r="J242" s="451">
        <v>0</v>
      </c>
      <c r="K242" s="483">
        <f>+L242+M242</f>
        <v>3.5406000000000404</v>
      </c>
      <c r="L242" s="451">
        <f>+H242-R242</f>
        <v>3.5406000000000404</v>
      </c>
      <c r="M242" s="451"/>
      <c r="N242" s="483"/>
      <c r="O242" s="451"/>
      <c r="P242" s="451"/>
      <c r="Q242" s="466">
        <v>1046.4594</v>
      </c>
      <c r="R242" s="451">
        <v>996.45939999999996</v>
      </c>
      <c r="S242" s="451">
        <v>50</v>
      </c>
      <c r="T242" s="451"/>
      <c r="U242" s="451">
        <f t="shared" si="211"/>
        <v>1046.4594</v>
      </c>
      <c r="V242" s="451">
        <f t="shared" si="212"/>
        <v>996.45939999999996</v>
      </c>
      <c r="W242" s="451">
        <f t="shared" si="212"/>
        <v>50</v>
      </c>
      <c r="X242" s="445">
        <f t="shared" si="210"/>
        <v>0</v>
      </c>
      <c r="Y242" s="451"/>
      <c r="Z242" s="451"/>
      <c r="AA242" s="451">
        <f>+AB242+AC242</f>
        <v>1046.4594</v>
      </c>
      <c r="AB242" s="483">
        <f>1000-3.5406</f>
        <v>996.45939999999996</v>
      </c>
      <c r="AC242" s="483">
        <v>50</v>
      </c>
      <c r="AD242" s="451"/>
      <c r="AE242" s="483"/>
      <c r="AF242" s="483"/>
      <c r="AG242" s="451"/>
      <c r="AH242" s="483"/>
      <c r="AI242" s="483"/>
      <c r="AJ242" s="451"/>
      <c r="AK242" s="451"/>
      <c r="AL242" s="15"/>
    </row>
    <row r="243" spans="1:41" ht="30" hidden="1">
      <c r="A243" s="19">
        <f t="shared" si="214"/>
        <v>6</v>
      </c>
      <c r="B243" s="328" t="s">
        <v>1158</v>
      </c>
      <c r="C243" s="8" t="s">
        <v>478</v>
      </c>
      <c r="D243" s="19"/>
      <c r="E243" s="8" t="s">
        <v>483</v>
      </c>
      <c r="F243" s="19" t="s">
        <v>54</v>
      </c>
      <c r="G243" s="445">
        <f>H243+I243</f>
        <v>1323</v>
      </c>
      <c r="H243" s="445">
        <v>1260</v>
      </c>
      <c r="I243" s="445">
        <v>63</v>
      </c>
      <c r="J243" s="451">
        <v>0</v>
      </c>
      <c r="K243" s="483">
        <f>+L243+M243</f>
        <v>9.2000000000000455</v>
      </c>
      <c r="L243" s="451">
        <f>+H243-R243</f>
        <v>9.2000000000000455</v>
      </c>
      <c r="M243" s="451"/>
      <c r="N243" s="483">
        <f>+O243+P243</f>
        <v>9.2999999999999972</v>
      </c>
      <c r="O243" s="451"/>
      <c r="P243" s="451">
        <f>+S243-I243</f>
        <v>9.2999999999999972</v>
      </c>
      <c r="Q243" s="466">
        <v>1323.1</v>
      </c>
      <c r="R243" s="451">
        <v>1250.8</v>
      </c>
      <c r="S243" s="451">
        <v>72.3</v>
      </c>
      <c r="T243" s="141" t="s">
        <v>1162</v>
      </c>
      <c r="U243" s="451">
        <f>+V243+W243</f>
        <v>1323.1</v>
      </c>
      <c r="V243" s="451">
        <f>+Y243+AB243+AE243</f>
        <v>1250.8</v>
      </c>
      <c r="W243" s="451">
        <f>+Z243+AC243+AF243</f>
        <v>72.3</v>
      </c>
      <c r="X243" s="445">
        <f>Y243+Z243</f>
        <v>0</v>
      </c>
      <c r="Y243" s="451"/>
      <c r="Z243" s="451"/>
      <c r="AA243" s="451"/>
      <c r="AB243" s="483"/>
      <c r="AC243" s="483"/>
      <c r="AD243" s="451">
        <f>+AE243+AF243</f>
        <v>1323.1</v>
      </c>
      <c r="AE243" s="483">
        <v>1250.8</v>
      </c>
      <c r="AF243" s="483">
        <v>72.3</v>
      </c>
      <c r="AG243" s="451"/>
      <c r="AH243" s="483"/>
      <c r="AI243" s="483"/>
      <c r="AJ243" s="451"/>
      <c r="AK243" s="451"/>
      <c r="AL243" s="15"/>
    </row>
    <row r="244" spans="1:41" ht="75" hidden="1">
      <c r="A244" s="19">
        <f t="shared" si="214"/>
        <v>7</v>
      </c>
      <c r="B244" s="328" t="s">
        <v>494</v>
      </c>
      <c r="C244" s="8" t="s">
        <v>495</v>
      </c>
      <c r="D244" s="8"/>
      <c r="E244" s="8" t="s">
        <v>496</v>
      </c>
      <c r="F244" s="19" t="s">
        <v>54</v>
      </c>
      <c r="G244" s="445">
        <f>H244+I244</f>
        <v>1050</v>
      </c>
      <c r="H244" s="445">
        <v>1000</v>
      </c>
      <c r="I244" s="445">
        <v>50</v>
      </c>
      <c r="J244" s="451"/>
      <c r="K244" s="483"/>
      <c r="L244" s="451"/>
      <c r="M244" s="451"/>
      <c r="N244" s="483">
        <f>+O244+P244</f>
        <v>105.90000000000009</v>
      </c>
      <c r="O244" s="451">
        <f>+R244-H244</f>
        <v>91.900000000000091</v>
      </c>
      <c r="P244" s="451">
        <f>+S244-I244</f>
        <v>14</v>
      </c>
      <c r="Q244" s="466">
        <v>1155.9000000000001</v>
      </c>
      <c r="R244" s="451">
        <v>1091.9000000000001</v>
      </c>
      <c r="S244" s="451">
        <v>64</v>
      </c>
      <c r="T244" s="451"/>
      <c r="U244" s="451">
        <f>+V244+W244</f>
        <v>1155.9000000000001</v>
      </c>
      <c r="V244" s="451">
        <f>+Y244+AB244+AE244</f>
        <v>1091.9000000000001</v>
      </c>
      <c r="W244" s="451">
        <f>+Z244+AC244+AF244</f>
        <v>64</v>
      </c>
      <c r="X244" s="445">
        <f>Y244+Z244</f>
        <v>0</v>
      </c>
      <c r="Y244" s="451"/>
      <c r="Z244" s="451"/>
      <c r="AA244" s="451"/>
      <c r="AB244" s="483"/>
      <c r="AC244" s="483"/>
      <c r="AD244" s="451">
        <f>+AE244+AF244</f>
        <v>1155.9000000000001</v>
      </c>
      <c r="AE244" s="483">
        <v>1091.9000000000001</v>
      </c>
      <c r="AF244" s="483">
        <v>64</v>
      </c>
      <c r="AG244" s="451"/>
      <c r="AH244" s="483"/>
      <c r="AI244" s="483"/>
      <c r="AJ244" s="451"/>
      <c r="AK244" s="451"/>
      <c r="AL244" s="15"/>
    </row>
    <row r="245" spans="1:41" ht="75" hidden="1">
      <c r="A245" s="19">
        <f t="shared" si="214"/>
        <v>8</v>
      </c>
      <c r="B245" s="328" t="s">
        <v>485</v>
      </c>
      <c r="C245" s="8" t="s">
        <v>486</v>
      </c>
      <c r="D245" s="8"/>
      <c r="E245" s="8" t="s">
        <v>128</v>
      </c>
      <c r="F245" s="19" t="s">
        <v>55</v>
      </c>
      <c r="G245" s="445">
        <f t="shared" si="209"/>
        <v>525</v>
      </c>
      <c r="H245" s="445">
        <v>500</v>
      </c>
      <c r="I245" s="445">
        <v>25</v>
      </c>
      <c r="J245" s="451"/>
      <c r="K245" s="483">
        <f t="shared" ref="K245:K248" si="215">+G245-Q245</f>
        <v>0</v>
      </c>
      <c r="L245" s="451"/>
      <c r="M245" s="451"/>
      <c r="N245" s="483"/>
      <c r="O245" s="451"/>
      <c r="P245" s="451"/>
      <c r="Q245" s="451">
        <f>+R245+S245</f>
        <v>525</v>
      </c>
      <c r="R245" s="483">
        <v>500</v>
      </c>
      <c r="S245" s="483">
        <v>25</v>
      </c>
      <c r="T245" s="451"/>
      <c r="U245" s="451">
        <f t="shared" si="211"/>
        <v>0</v>
      </c>
      <c r="V245" s="451">
        <f t="shared" si="212"/>
        <v>0</v>
      </c>
      <c r="W245" s="451">
        <f t="shared" si="212"/>
        <v>0</v>
      </c>
      <c r="X245" s="445">
        <f t="shared" si="210"/>
        <v>0</v>
      </c>
      <c r="Y245" s="451"/>
      <c r="Z245" s="451"/>
      <c r="AA245" s="451"/>
      <c r="AB245" s="483"/>
      <c r="AC245" s="483"/>
      <c r="AD245" s="451"/>
      <c r="AE245" s="483"/>
      <c r="AF245" s="483"/>
      <c r="AG245" s="451">
        <f>+AH245+AI245</f>
        <v>525</v>
      </c>
      <c r="AH245" s="483">
        <v>500</v>
      </c>
      <c r="AI245" s="483">
        <v>25</v>
      </c>
      <c r="AJ245" s="451"/>
      <c r="AK245" s="451"/>
      <c r="AL245" s="15"/>
    </row>
    <row r="246" spans="1:41" ht="75" hidden="1">
      <c r="A246" s="19">
        <f t="shared" si="214"/>
        <v>9</v>
      </c>
      <c r="B246" s="328" t="s">
        <v>489</v>
      </c>
      <c r="C246" s="8" t="s">
        <v>472</v>
      </c>
      <c r="D246" s="8"/>
      <c r="E246" s="8" t="s">
        <v>159</v>
      </c>
      <c r="F246" s="19" t="s">
        <v>55</v>
      </c>
      <c r="G246" s="445">
        <f t="shared" si="209"/>
        <v>509.25</v>
      </c>
      <c r="H246" s="445">
        <v>485</v>
      </c>
      <c r="I246" s="445">
        <v>24.25</v>
      </c>
      <c r="J246" s="451"/>
      <c r="K246" s="483">
        <f t="shared" si="215"/>
        <v>0</v>
      </c>
      <c r="L246" s="451"/>
      <c r="M246" s="451"/>
      <c r="N246" s="483"/>
      <c r="O246" s="451"/>
      <c r="P246" s="451"/>
      <c r="Q246" s="445">
        <f t="shared" ref="Q246:Q247" si="216">R246+S246</f>
        <v>509.25</v>
      </c>
      <c r="R246" s="445">
        <v>485</v>
      </c>
      <c r="S246" s="445">
        <v>24.25</v>
      </c>
      <c r="T246" s="451"/>
      <c r="U246" s="451">
        <f t="shared" si="211"/>
        <v>0</v>
      </c>
      <c r="V246" s="451">
        <f t="shared" si="212"/>
        <v>0</v>
      </c>
      <c r="W246" s="451">
        <f t="shared" si="212"/>
        <v>0</v>
      </c>
      <c r="X246" s="445">
        <f t="shared" si="210"/>
        <v>0</v>
      </c>
      <c r="Y246" s="451"/>
      <c r="Z246" s="451"/>
      <c r="AA246" s="451"/>
      <c r="AB246" s="483"/>
      <c r="AC246" s="483"/>
      <c r="AD246" s="451"/>
      <c r="AE246" s="483"/>
      <c r="AF246" s="483"/>
      <c r="AG246" s="445">
        <f t="shared" ref="AG246:AG247" si="217">AH246+AI246</f>
        <v>509.25</v>
      </c>
      <c r="AH246" s="445">
        <v>485</v>
      </c>
      <c r="AI246" s="445">
        <v>24.25</v>
      </c>
      <c r="AJ246" s="451"/>
      <c r="AK246" s="451"/>
      <c r="AL246" s="15"/>
    </row>
    <row r="247" spans="1:41" ht="45" hidden="1">
      <c r="A247" s="19">
        <f t="shared" si="214"/>
        <v>10</v>
      </c>
      <c r="B247" s="328" t="s">
        <v>490</v>
      </c>
      <c r="C247" s="8" t="s">
        <v>1173</v>
      </c>
      <c r="D247" s="8"/>
      <c r="E247" s="8" t="s">
        <v>491</v>
      </c>
      <c r="F247" s="19" t="s">
        <v>55</v>
      </c>
      <c r="G247" s="445">
        <f t="shared" si="209"/>
        <v>525</v>
      </c>
      <c r="H247" s="445">
        <v>500</v>
      </c>
      <c r="I247" s="445">
        <v>25</v>
      </c>
      <c r="J247" s="451"/>
      <c r="K247" s="483"/>
      <c r="L247" s="451"/>
      <c r="M247" s="451"/>
      <c r="N247" s="483">
        <f>+O247+P247</f>
        <v>197.26160000000004</v>
      </c>
      <c r="O247" s="451">
        <f>+R247-H247</f>
        <v>197.26160000000004</v>
      </c>
      <c r="P247" s="451">
        <f>+S247-I247</f>
        <v>0</v>
      </c>
      <c r="Q247" s="445">
        <f t="shared" si="216"/>
        <v>722.26160000000004</v>
      </c>
      <c r="R247" s="445">
        <v>697.26160000000004</v>
      </c>
      <c r="S247" s="445">
        <v>25</v>
      </c>
      <c r="T247" s="451"/>
      <c r="U247" s="451">
        <f t="shared" si="211"/>
        <v>0</v>
      </c>
      <c r="V247" s="451">
        <f t="shared" si="212"/>
        <v>0</v>
      </c>
      <c r="W247" s="451">
        <f t="shared" si="212"/>
        <v>0</v>
      </c>
      <c r="X247" s="445">
        <f t="shared" si="210"/>
        <v>0</v>
      </c>
      <c r="Y247" s="451"/>
      <c r="Z247" s="451"/>
      <c r="AA247" s="451"/>
      <c r="AB247" s="483"/>
      <c r="AC247" s="483"/>
      <c r="AD247" s="451"/>
      <c r="AE247" s="483"/>
      <c r="AF247" s="483"/>
      <c r="AG247" s="445">
        <f t="shared" si="217"/>
        <v>722.26160000000004</v>
      </c>
      <c r="AH247" s="445">
        <v>697.26160000000004</v>
      </c>
      <c r="AI247" s="445">
        <v>25</v>
      </c>
      <c r="AJ247" s="451"/>
      <c r="AK247" s="451"/>
      <c r="AL247" s="15"/>
    </row>
    <row r="248" spans="1:41" ht="45" hidden="1">
      <c r="A248" s="19">
        <f t="shared" si="214"/>
        <v>11</v>
      </c>
      <c r="B248" s="328" t="s">
        <v>1172</v>
      </c>
      <c r="C248" s="8" t="s">
        <v>1173</v>
      </c>
      <c r="D248" s="8"/>
      <c r="E248" s="8" t="s">
        <v>493</v>
      </c>
      <c r="F248" s="19" t="s">
        <v>55</v>
      </c>
      <c r="G248" s="445">
        <f t="shared" si="209"/>
        <v>630</v>
      </c>
      <c r="H248" s="445">
        <v>600</v>
      </c>
      <c r="I248" s="445">
        <v>30</v>
      </c>
      <c r="J248" s="451"/>
      <c r="K248" s="483">
        <f t="shared" si="215"/>
        <v>0</v>
      </c>
      <c r="L248" s="451"/>
      <c r="M248" s="451"/>
      <c r="N248" s="483"/>
      <c r="O248" s="451"/>
      <c r="P248" s="451"/>
      <c r="Q248" s="445">
        <f>R248+S248</f>
        <v>630</v>
      </c>
      <c r="R248" s="445">
        <v>600</v>
      </c>
      <c r="S248" s="445">
        <v>30</v>
      </c>
      <c r="T248" s="141" t="s">
        <v>1162</v>
      </c>
      <c r="U248" s="451">
        <f t="shared" si="211"/>
        <v>0</v>
      </c>
      <c r="V248" s="451">
        <f t="shared" si="212"/>
        <v>0</v>
      </c>
      <c r="W248" s="451">
        <f t="shared" si="212"/>
        <v>0</v>
      </c>
      <c r="X248" s="445">
        <f t="shared" si="210"/>
        <v>0</v>
      </c>
      <c r="Y248" s="451"/>
      <c r="Z248" s="451"/>
      <c r="AA248" s="451"/>
      <c r="AB248" s="483"/>
      <c r="AC248" s="483"/>
      <c r="AD248" s="451"/>
      <c r="AE248" s="483"/>
      <c r="AF248" s="483"/>
      <c r="AG248" s="445">
        <f>AH248+AI248</f>
        <v>630</v>
      </c>
      <c r="AH248" s="445">
        <v>600</v>
      </c>
      <c r="AI248" s="445">
        <v>30</v>
      </c>
      <c r="AJ248" s="451"/>
      <c r="AK248" s="451"/>
      <c r="AL248" s="15"/>
    </row>
    <row r="249" spans="1:41" ht="75" hidden="1">
      <c r="A249" s="19">
        <f t="shared" si="214"/>
        <v>12</v>
      </c>
      <c r="B249" s="328" t="s">
        <v>986</v>
      </c>
      <c r="C249" s="8" t="s">
        <v>498</v>
      </c>
      <c r="D249" s="8"/>
      <c r="E249" s="8" t="s">
        <v>326</v>
      </c>
      <c r="F249" s="19" t="s">
        <v>55</v>
      </c>
      <c r="G249" s="445">
        <f t="shared" si="209"/>
        <v>996.69</v>
      </c>
      <c r="H249" s="445">
        <v>949.23</v>
      </c>
      <c r="I249" s="445">
        <v>47.46</v>
      </c>
      <c r="J249" s="451"/>
      <c r="K249" s="483">
        <f>+L249+M249</f>
        <v>19</v>
      </c>
      <c r="L249" s="451">
        <f>+H249-R249</f>
        <v>0</v>
      </c>
      <c r="M249" s="451">
        <f>+I249-S249</f>
        <v>19</v>
      </c>
      <c r="N249" s="483"/>
      <c r="O249" s="451"/>
      <c r="P249" s="451"/>
      <c r="Q249" s="445">
        <f t="shared" ref="Q249" si="218">R249+S249</f>
        <v>977.69</v>
      </c>
      <c r="R249" s="445">
        <v>949.23</v>
      </c>
      <c r="S249" s="445">
        <v>28.46</v>
      </c>
      <c r="T249" s="451"/>
      <c r="U249" s="451">
        <f t="shared" si="211"/>
        <v>0</v>
      </c>
      <c r="V249" s="451">
        <f t="shared" si="212"/>
        <v>0</v>
      </c>
      <c r="W249" s="451">
        <f t="shared" si="212"/>
        <v>0</v>
      </c>
      <c r="X249" s="445">
        <f t="shared" si="210"/>
        <v>0</v>
      </c>
      <c r="Y249" s="451"/>
      <c r="Z249" s="451"/>
      <c r="AA249" s="451"/>
      <c r="AB249" s="483"/>
      <c r="AC249" s="483"/>
      <c r="AD249" s="451"/>
      <c r="AE249" s="483"/>
      <c r="AF249" s="483"/>
      <c r="AG249" s="445">
        <f t="shared" ref="AG249" si="219">AH249+AI249</f>
        <v>977.69</v>
      </c>
      <c r="AH249" s="445">
        <v>949.23</v>
      </c>
      <c r="AI249" s="445">
        <v>28.46</v>
      </c>
      <c r="AJ249" s="451"/>
      <c r="AK249" s="451"/>
      <c r="AL249" s="15"/>
    </row>
    <row r="250" spans="1:41" ht="30" hidden="1">
      <c r="A250" s="19">
        <f t="shared" si="214"/>
        <v>13</v>
      </c>
      <c r="B250" s="328" t="s">
        <v>487</v>
      </c>
      <c r="C250" s="8" t="s">
        <v>472</v>
      </c>
      <c r="D250" s="8"/>
      <c r="E250" s="8" t="s">
        <v>488</v>
      </c>
      <c r="F250" s="19" t="s">
        <v>55</v>
      </c>
      <c r="G250" s="445">
        <f t="shared" si="209"/>
        <v>420</v>
      </c>
      <c r="H250" s="445">
        <v>400</v>
      </c>
      <c r="I250" s="445">
        <v>20</v>
      </c>
      <c r="J250" s="451"/>
      <c r="K250" s="445">
        <f t="shared" ref="K250" si="220">L250+M250</f>
        <v>420</v>
      </c>
      <c r="L250" s="445">
        <v>400</v>
      </c>
      <c r="M250" s="445">
        <v>20</v>
      </c>
      <c r="N250" s="483"/>
      <c r="O250" s="451"/>
      <c r="P250" s="451"/>
      <c r="Q250" s="451"/>
      <c r="R250" s="483"/>
      <c r="S250" s="483"/>
      <c r="T250" s="544" t="s">
        <v>1174</v>
      </c>
      <c r="U250" s="451">
        <f t="shared" si="211"/>
        <v>0</v>
      </c>
      <c r="V250" s="451">
        <f t="shared" si="212"/>
        <v>0</v>
      </c>
      <c r="W250" s="451">
        <f t="shared" si="212"/>
        <v>0</v>
      </c>
      <c r="X250" s="445">
        <f t="shared" si="210"/>
        <v>0</v>
      </c>
      <c r="Y250" s="451"/>
      <c r="Z250" s="451"/>
      <c r="AA250" s="451"/>
      <c r="AB250" s="483"/>
      <c r="AC250" s="483"/>
      <c r="AD250" s="451"/>
      <c r="AE250" s="483"/>
      <c r="AF250" s="483"/>
      <c r="AG250" s="451"/>
      <c r="AH250" s="483"/>
      <c r="AI250" s="483"/>
      <c r="AJ250" s="451"/>
      <c r="AK250" s="451"/>
      <c r="AL250" s="15"/>
    </row>
    <row r="251" spans="1:41" s="14" customFormat="1" ht="23.25" customHeight="1">
      <c r="A251" s="4" t="s">
        <v>1003</v>
      </c>
      <c r="B251" s="507" t="s">
        <v>500</v>
      </c>
      <c r="C251" s="418"/>
      <c r="D251" s="418"/>
      <c r="E251" s="417">
        <v>0</v>
      </c>
      <c r="F251" s="417"/>
      <c r="G251" s="446">
        <f>SUM(G252:G283)</f>
        <v>11087.65</v>
      </c>
      <c r="H251" s="446">
        <f t="shared" ref="H251:AK251" si="221">SUM(H252:H283)</f>
        <v>10562.25</v>
      </c>
      <c r="I251" s="446">
        <f t="shared" si="221"/>
        <v>525.4</v>
      </c>
      <c r="J251" s="446">
        <f t="shared" si="221"/>
        <v>0</v>
      </c>
      <c r="K251" s="446">
        <f t="shared" si="221"/>
        <v>2042.37</v>
      </c>
      <c r="L251" s="446">
        <f t="shared" si="221"/>
        <v>1931.46</v>
      </c>
      <c r="M251" s="446">
        <f t="shared" si="221"/>
        <v>110.91</v>
      </c>
      <c r="N251" s="446">
        <f t="shared" si="221"/>
        <v>2042.37</v>
      </c>
      <c r="O251" s="446">
        <f t="shared" si="221"/>
        <v>1931.46</v>
      </c>
      <c r="P251" s="446">
        <f t="shared" si="221"/>
        <v>110.91</v>
      </c>
      <c r="Q251" s="446">
        <f t="shared" si="221"/>
        <v>11087.65</v>
      </c>
      <c r="R251" s="446">
        <f t="shared" si="221"/>
        <v>10562.249999999998</v>
      </c>
      <c r="S251" s="446">
        <f t="shared" si="221"/>
        <v>525.4</v>
      </c>
      <c r="T251" s="446"/>
      <c r="U251" s="446">
        <f t="shared" si="221"/>
        <v>7403.64</v>
      </c>
      <c r="V251" s="446">
        <f t="shared" si="221"/>
        <v>7022.44</v>
      </c>
      <c r="W251" s="446">
        <f t="shared" si="221"/>
        <v>381.2</v>
      </c>
      <c r="X251" s="446">
        <f t="shared" si="221"/>
        <v>1995</v>
      </c>
      <c r="Y251" s="446">
        <f t="shared" si="221"/>
        <v>1901</v>
      </c>
      <c r="Z251" s="446">
        <f t="shared" si="221"/>
        <v>94</v>
      </c>
      <c r="AA251" s="446">
        <f t="shared" si="221"/>
        <v>2686.14</v>
      </c>
      <c r="AB251" s="446">
        <f t="shared" si="221"/>
        <v>2548.54</v>
      </c>
      <c r="AC251" s="446">
        <f t="shared" si="221"/>
        <v>137.6</v>
      </c>
      <c r="AD251" s="446">
        <f t="shared" si="221"/>
        <v>2722.5</v>
      </c>
      <c r="AE251" s="446">
        <f t="shared" si="221"/>
        <v>2572.9</v>
      </c>
      <c r="AF251" s="446">
        <f t="shared" si="221"/>
        <v>149.60000000000002</v>
      </c>
      <c r="AG251" s="446">
        <f t="shared" si="221"/>
        <v>3684.0099999999998</v>
      </c>
      <c r="AH251" s="446">
        <f t="shared" si="221"/>
        <v>3539.81</v>
      </c>
      <c r="AI251" s="446">
        <f t="shared" si="221"/>
        <v>144.20000000000002</v>
      </c>
      <c r="AJ251" s="446"/>
      <c r="AK251" s="446">
        <f t="shared" si="221"/>
        <v>0</v>
      </c>
      <c r="AL251" s="16"/>
      <c r="AM251" s="368">
        <f>+'NĂM 2022'!K78+'NĂM 2023'!N98+'NĂM 2024'!J90+'NĂM 2025'!J86</f>
        <v>11087.65</v>
      </c>
      <c r="AN251" s="368">
        <f>+'NĂM 2022'!L78+'NĂM 2023'!O98+'NĂM 2024'!K90+'NĂM 2025'!K86</f>
        <v>10562.25</v>
      </c>
      <c r="AO251" s="368">
        <f>+'NĂM 2022'!M78+'NĂM 2023'!P98+'NĂM 2024'!L90+'NĂM 2025'!L86</f>
        <v>525.4</v>
      </c>
    </row>
    <row r="252" spans="1:41" ht="75" hidden="1">
      <c r="A252" s="8">
        <v>1</v>
      </c>
      <c r="B252" s="328" t="s">
        <v>501</v>
      </c>
      <c r="C252" s="8" t="s">
        <v>502</v>
      </c>
      <c r="D252" s="8"/>
      <c r="E252" s="8" t="s">
        <v>94</v>
      </c>
      <c r="F252" s="8" t="s">
        <v>52</v>
      </c>
      <c r="G252" s="505">
        <f>H252+I252</f>
        <v>430.5</v>
      </c>
      <c r="H252" s="505">
        <v>410</v>
      </c>
      <c r="I252" s="505">
        <v>20.5</v>
      </c>
      <c r="J252" s="511">
        <v>0</v>
      </c>
      <c r="K252" s="484">
        <f>+G252-Q252</f>
        <v>0</v>
      </c>
      <c r="L252" s="511"/>
      <c r="M252" s="511"/>
      <c r="N252" s="484"/>
      <c r="O252" s="511"/>
      <c r="P252" s="511"/>
      <c r="Q252" s="450">
        <f>+R252+S252</f>
        <v>430.5</v>
      </c>
      <c r="R252" s="511">
        <v>410</v>
      </c>
      <c r="S252" s="511">
        <v>20.5</v>
      </c>
      <c r="T252" s="511"/>
      <c r="U252" s="511">
        <f>+V252+W252</f>
        <v>430.5</v>
      </c>
      <c r="V252" s="511">
        <f>+Y252+AB252+AE252</f>
        <v>410</v>
      </c>
      <c r="W252" s="511">
        <f>+Z252+AC252+AF252</f>
        <v>20.5</v>
      </c>
      <c r="X252" s="505">
        <f>Y252+Z252</f>
        <v>430.5</v>
      </c>
      <c r="Y252" s="505">
        <v>410</v>
      </c>
      <c r="Z252" s="505">
        <v>20.5</v>
      </c>
      <c r="AA252" s="505"/>
      <c r="AB252" s="505"/>
      <c r="AC252" s="505"/>
      <c r="AD252" s="505"/>
      <c r="AE252" s="505"/>
      <c r="AF252" s="505"/>
      <c r="AG252" s="505"/>
      <c r="AH252" s="505"/>
      <c r="AI252" s="505"/>
      <c r="AJ252" s="505"/>
      <c r="AK252" s="451"/>
      <c r="AL252" s="15"/>
      <c r="AM252" s="506">
        <f>+G251-U251</f>
        <v>3684.0099999999993</v>
      </c>
      <c r="AN252" s="506">
        <f>+H251-V251</f>
        <v>3539.8100000000004</v>
      </c>
      <c r="AO252" s="506">
        <f>+I251-W251</f>
        <v>144.19999999999999</v>
      </c>
    </row>
    <row r="253" spans="1:41" ht="75" hidden="1">
      <c r="A253" s="8">
        <f>+A252+1</f>
        <v>2</v>
      </c>
      <c r="B253" s="328" t="s">
        <v>503</v>
      </c>
      <c r="C253" s="8" t="s">
        <v>504</v>
      </c>
      <c r="D253" s="8"/>
      <c r="E253" s="8" t="s">
        <v>94</v>
      </c>
      <c r="F253" s="8" t="s">
        <v>52</v>
      </c>
      <c r="G253" s="505">
        <f>H253+I253</f>
        <v>430.5</v>
      </c>
      <c r="H253" s="505">
        <v>410</v>
      </c>
      <c r="I253" s="505">
        <v>20.5</v>
      </c>
      <c r="J253" s="511">
        <v>0</v>
      </c>
      <c r="K253" s="484">
        <f t="shared" ref="K253:K275" si="222">+G253-Q253</f>
        <v>0</v>
      </c>
      <c r="L253" s="511"/>
      <c r="M253" s="511"/>
      <c r="N253" s="484"/>
      <c r="O253" s="511"/>
      <c r="P253" s="511"/>
      <c r="Q253" s="450">
        <f t="shared" ref="Q253:Q274" si="223">+R253+S253</f>
        <v>430.5</v>
      </c>
      <c r="R253" s="511">
        <v>410</v>
      </c>
      <c r="S253" s="511">
        <v>20.5</v>
      </c>
      <c r="T253" s="511"/>
      <c r="U253" s="511">
        <f t="shared" ref="U253:U283" si="224">+V253+W253</f>
        <v>430.5</v>
      </c>
      <c r="V253" s="511">
        <f t="shared" ref="V253:W277" si="225">+Y253+AB253+AE253</f>
        <v>410</v>
      </c>
      <c r="W253" s="511">
        <f t="shared" si="225"/>
        <v>20.5</v>
      </c>
      <c r="X253" s="505">
        <f>Y253+Z253</f>
        <v>430.5</v>
      </c>
      <c r="Y253" s="505">
        <v>410</v>
      </c>
      <c r="Z253" s="505">
        <v>20.5</v>
      </c>
      <c r="AA253" s="505"/>
      <c r="AB253" s="505"/>
      <c r="AC253" s="505"/>
      <c r="AD253" s="505"/>
      <c r="AE253" s="505"/>
      <c r="AF253" s="505"/>
      <c r="AG253" s="505"/>
      <c r="AH253" s="505"/>
      <c r="AI253" s="505"/>
      <c r="AJ253" s="505"/>
      <c r="AK253" s="451"/>
      <c r="AL253" s="15"/>
      <c r="AM253" s="506">
        <f>+AM252-AG251</f>
        <v>0</v>
      </c>
      <c r="AN253" s="506">
        <f t="shared" ref="AN253:AO253" si="226">+AN252-AH251</f>
        <v>0</v>
      </c>
      <c r="AO253" s="506">
        <f t="shared" si="226"/>
        <v>0</v>
      </c>
    </row>
    <row r="254" spans="1:41" ht="75" hidden="1">
      <c r="A254" s="8">
        <f t="shared" ref="A254:A283" si="227">+A253+1</f>
        <v>3</v>
      </c>
      <c r="B254" s="328" t="s">
        <v>505</v>
      </c>
      <c r="C254" s="8" t="s">
        <v>506</v>
      </c>
      <c r="D254" s="8"/>
      <c r="E254" s="8" t="s">
        <v>94</v>
      </c>
      <c r="F254" s="8" t="s">
        <v>52</v>
      </c>
      <c r="G254" s="505">
        <f t="shared" ref="G254:G283" si="228">H254+I254</f>
        <v>430.5</v>
      </c>
      <c r="H254" s="505">
        <v>410</v>
      </c>
      <c r="I254" s="505">
        <v>20.5</v>
      </c>
      <c r="J254" s="511">
        <v>0</v>
      </c>
      <c r="K254" s="484">
        <f t="shared" si="222"/>
        <v>0</v>
      </c>
      <c r="L254" s="511"/>
      <c r="M254" s="511"/>
      <c r="N254" s="484"/>
      <c r="O254" s="511"/>
      <c r="P254" s="511"/>
      <c r="Q254" s="450">
        <f t="shared" si="223"/>
        <v>430.5</v>
      </c>
      <c r="R254" s="511">
        <v>410</v>
      </c>
      <c r="S254" s="511">
        <v>20.5</v>
      </c>
      <c r="T254" s="511"/>
      <c r="U254" s="511">
        <f t="shared" si="224"/>
        <v>430.5</v>
      </c>
      <c r="V254" s="511">
        <f t="shared" si="225"/>
        <v>410</v>
      </c>
      <c r="W254" s="511">
        <f t="shared" si="225"/>
        <v>20.5</v>
      </c>
      <c r="X254" s="505">
        <f>Y254+Z254</f>
        <v>430.5</v>
      </c>
      <c r="Y254" s="505">
        <v>410</v>
      </c>
      <c r="Z254" s="505">
        <v>20.5</v>
      </c>
      <c r="AA254" s="505"/>
      <c r="AB254" s="505"/>
      <c r="AC254" s="505"/>
      <c r="AD254" s="505"/>
      <c r="AE254" s="505"/>
      <c r="AF254" s="505"/>
      <c r="AG254" s="505"/>
      <c r="AH254" s="505"/>
      <c r="AI254" s="505"/>
      <c r="AJ254" s="505"/>
      <c r="AK254" s="451"/>
      <c r="AL254" s="15"/>
    </row>
    <row r="255" spans="1:41" ht="75" hidden="1">
      <c r="A255" s="8">
        <f t="shared" si="227"/>
        <v>4</v>
      </c>
      <c r="B255" s="376" t="s">
        <v>817</v>
      </c>
      <c r="C255" s="8" t="s">
        <v>507</v>
      </c>
      <c r="D255" s="8"/>
      <c r="E255" s="8" t="s">
        <v>159</v>
      </c>
      <c r="F255" s="8" t="s">
        <v>52</v>
      </c>
      <c r="G255" s="505">
        <f>H255+I255</f>
        <v>100.7</v>
      </c>
      <c r="H255" s="505">
        <v>96</v>
      </c>
      <c r="I255" s="505">
        <v>4.7</v>
      </c>
      <c r="J255" s="511">
        <v>0</v>
      </c>
      <c r="K255" s="484">
        <f t="shared" si="222"/>
        <v>0</v>
      </c>
      <c r="L255" s="511"/>
      <c r="M255" s="511"/>
      <c r="N255" s="484"/>
      <c r="O255" s="511"/>
      <c r="P255" s="511"/>
      <c r="Q255" s="450">
        <f t="shared" si="223"/>
        <v>100.7</v>
      </c>
      <c r="R255" s="511">
        <v>96</v>
      </c>
      <c r="S255" s="511">
        <v>4.7</v>
      </c>
      <c r="T255" s="511"/>
      <c r="U255" s="511">
        <f t="shared" si="224"/>
        <v>100.7</v>
      </c>
      <c r="V255" s="511">
        <f t="shared" si="225"/>
        <v>96</v>
      </c>
      <c r="W255" s="511">
        <f t="shared" si="225"/>
        <v>4.7</v>
      </c>
      <c r="X255" s="505">
        <f t="shared" ref="X255:X283" si="229">Y255+Z255</f>
        <v>100.7</v>
      </c>
      <c r="Y255" s="505">
        <v>96</v>
      </c>
      <c r="Z255" s="505">
        <v>4.7</v>
      </c>
      <c r="AA255" s="505"/>
      <c r="AB255" s="505"/>
      <c r="AC255" s="505"/>
      <c r="AD255" s="505"/>
      <c r="AE255" s="505"/>
      <c r="AF255" s="505"/>
      <c r="AG255" s="505"/>
      <c r="AH255" s="505"/>
      <c r="AI255" s="505"/>
      <c r="AJ255" s="505"/>
      <c r="AK255" s="451"/>
      <c r="AL255" s="15"/>
    </row>
    <row r="256" spans="1:41" ht="75" hidden="1">
      <c r="A256" s="8">
        <f t="shared" si="227"/>
        <v>5</v>
      </c>
      <c r="B256" s="328" t="s">
        <v>508</v>
      </c>
      <c r="C256" s="8" t="s">
        <v>509</v>
      </c>
      <c r="D256" s="8"/>
      <c r="E256" s="8" t="s">
        <v>510</v>
      </c>
      <c r="F256" s="8" t="s">
        <v>52</v>
      </c>
      <c r="G256" s="505">
        <f>H256+I256</f>
        <v>503</v>
      </c>
      <c r="H256" s="505">
        <v>480</v>
      </c>
      <c r="I256" s="505">
        <v>23</v>
      </c>
      <c r="J256" s="511">
        <v>0</v>
      </c>
      <c r="K256" s="484">
        <f t="shared" si="222"/>
        <v>0</v>
      </c>
      <c r="L256" s="511"/>
      <c r="M256" s="511"/>
      <c r="N256" s="484"/>
      <c r="O256" s="511"/>
      <c r="P256" s="511"/>
      <c r="Q256" s="450">
        <f t="shared" si="223"/>
        <v>503</v>
      </c>
      <c r="R256" s="511">
        <v>480</v>
      </c>
      <c r="S256" s="511">
        <v>23</v>
      </c>
      <c r="T256" s="511"/>
      <c r="U256" s="511">
        <f t="shared" si="224"/>
        <v>503</v>
      </c>
      <c r="V256" s="511">
        <f t="shared" si="225"/>
        <v>480</v>
      </c>
      <c r="W256" s="511">
        <f t="shared" si="225"/>
        <v>23</v>
      </c>
      <c r="X256" s="505">
        <f>Y256+Z256</f>
        <v>503</v>
      </c>
      <c r="Y256" s="505">
        <v>480</v>
      </c>
      <c r="Z256" s="505">
        <v>23</v>
      </c>
      <c r="AA256" s="505"/>
      <c r="AB256" s="505"/>
      <c r="AC256" s="505"/>
      <c r="AD256" s="505"/>
      <c r="AE256" s="505"/>
      <c r="AF256" s="505"/>
      <c r="AG256" s="505"/>
      <c r="AH256" s="505"/>
      <c r="AI256" s="505"/>
      <c r="AJ256" s="505"/>
      <c r="AK256" s="451"/>
      <c r="AL256" s="15"/>
    </row>
    <row r="257" spans="1:44" ht="75" hidden="1">
      <c r="A257" s="8">
        <f t="shared" si="227"/>
        <v>6</v>
      </c>
      <c r="B257" s="376" t="s">
        <v>818</v>
      </c>
      <c r="C257" s="8" t="s">
        <v>511</v>
      </c>
      <c r="D257" s="8"/>
      <c r="E257" s="8" t="s">
        <v>159</v>
      </c>
      <c r="F257" s="8" t="s">
        <v>52</v>
      </c>
      <c r="G257" s="505">
        <f>H257+I257</f>
        <v>99.8</v>
      </c>
      <c r="H257" s="505">
        <v>95</v>
      </c>
      <c r="I257" s="505">
        <v>4.8</v>
      </c>
      <c r="J257" s="511">
        <v>0</v>
      </c>
      <c r="K257" s="484">
        <f t="shared" si="222"/>
        <v>0</v>
      </c>
      <c r="L257" s="511"/>
      <c r="M257" s="511"/>
      <c r="N257" s="484"/>
      <c r="O257" s="511"/>
      <c r="P257" s="511"/>
      <c r="Q257" s="450">
        <f t="shared" si="223"/>
        <v>99.8</v>
      </c>
      <c r="R257" s="511">
        <v>95</v>
      </c>
      <c r="S257" s="511">
        <v>4.8</v>
      </c>
      <c r="T257" s="511"/>
      <c r="U257" s="511">
        <f t="shared" si="224"/>
        <v>99.8</v>
      </c>
      <c r="V257" s="511">
        <f t="shared" si="225"/>
        <v>95</v>
      </c>
      <c r="W257" s="511">
        <f t="shared" si="225"/>
        <v>4.8</v>
      </c>
      <c r="X257" s="505">
        <f>Y257+Z257</f>
        <v>99.8</v>
      </c>
      <c r="Y257" s="505">
        <v>95</v>
      </c>
      <c r="Z257" s="505">
        <v>4.8</v>
      </c>
      <c r="AA257" s="505"/>
      <c r="AB257" s="505"/>
      <c r="AC257" s="505"/>
      <c r="AD257" s="505"/>
      <c r="AE257" s="505"/>
      <c r="AF257" s="505"/>
      <c r="AG257" s="505"/>
      <c r="AH257" s="505"/>
      <c r="AI257" s="505"/>
      <c r="AJ257" s="505"/>
      <c r="AK257" s="451"/>
      <c r="AL257" s="15"/>
    </row>
    <row r="258" spans="1:44" ht="75" hidden="1">
      <c r="A258" s="8">
        <f t="shared" si="227"/>
        <v>7</v>
      </c>
      <c r="B258" s="328" t="s">
        <v>512</v>
      </c>
      <c r="C258" s="8" t="s">
        <v>513</v>
      </c>
      <c r="D258" s="8"/>
      <c r="E258" s="8" t="s">
        <v>94</v>
      </c>
      <c r="F258" s="8" t="s">
        <v>53</v>
      </c>
      <c r="G258" s="505">
        <f t="shared" si="228"/>
        <v>483</v>
      </c>
      <c r="H258" s="505">
        <v>460</v>
      </c>
      <c r="I258" s="505">
        <v>23</v>
      </c>
      <c r="J258" s="451">
        <v>0</v>
      </c>
      <c r="K258" s="484"/>
      <c r="L258" s="451"/>
      <c r="M258" s="451"/>
      <c r="N258" s="483">
        <f>+O258+P258</f>
        <v>44</v>
      </c>
      <c r="O258" s="451">
        <f t="shared" ref="O258:P261" si="230">+R258-H258</f>
        <v>40</v>
      </c>
      <c r="P258" s="451">
        <f t="shared" si="230"/>
        <v>4</v>
      </c>
      <c r="Q258" s="450">
        <f t="shared" si="223"/>
        <v>527</v>
      </c>
      <c r="R258" s="451">
        <v>500</v>
      </c>
      <c r="S258" s="451">
        <v>27</v>
      </c>
      <c r="T258" s="451"/>
      <c r="U258" s="511">
        <f t="shared" si="224"/>
        <v>527</v>
      </c>
      <c r="V258" s="511">
        <f t="shared" si="225"/>
        <v>500</v>
      </c>
      <c r="W258" s="511">
        <f t="shared" si="225"/>
        <v>27</v>
      </c>
      <c r="X258" s="445">
        <f t="shared" si="229"/>
        <v>0</v>
      </c>
      <c r="Y258" s="451"/>
      <c r="Z258" s="451"/>
      <c r="AA258" s="451">
        <f>+AB258+AC258</f>
        <v>527</v>
      </c>
      <c r="AB258" s="451">
        <v>500</v>
      </c>
      <c r="AC258" s="451">
        <v>27</v>
      </c>
      <c r="AD258" s="451"/>
      <c r="AE258" s="451"/>
      <c r="AF258" s="451"/>
      <c r="AG258" s="451"/>
      <c r="AH258" s="451"/>
      <c r="AI258" s="451"/>
      <c r="AJ258" s="451"/>
      <c r="AK258" s="451"/>
      <c r="AL258" s="15"/>
    </row>
    <row r="259" spans="1:44" ht="75" hidden="1">
      <c r="A259" s="8">
        <f t="shared" si="227"/>
        <v>8</v>
      </c>
      <c r="B259" s="328" t="s">
        <v>514</v>
      </c>
      <c r="C259" s="8" t="s">
        <v>515</v>
      </c>
      <c r="D259" s="8"/>
      <c r="E259" s="8" t="s">
        <v>286</v>
      </c>
      <c r="F259" s="8" t="s">
        <v>53</v>
      </c>
      <c r="G259" s="505">
        <f>H259+I259</f>
        <v>483</v>
      </c>
      <c r="H259" s="505">
        <v>460</v>
      </c>
      <c r="I259" s="505">
        <v>23</v>
      </c>
      <c r="J259" s="451">
        <v>0</v>
      </c>
      <c r="K259" s="484"/>
      <c r="L259" s="451"/>
      <c r="M259" s="451"/>
      <c r="N259" s="483">
        <f>+O259+P259</f>
        <v>44</v>
      </c>
      <c r="O259" s="451">
        <f t="shared" si="230"/>
        <v>40</v>
      </c>
      <c r="P259" s="451">
        <f t="shared" si="230"/>
        <v>4</v>
      </c>
      <c r="Q259" s="450">
        <f t="shared" si="223"/>
        <v>527</v>
      </c>
      <c r="R259" s="451">
        <v>500</v>
      </c>
      <c r="S259" s="451">
        <v>27</v>
      </c>
      <c r="T259" s="451"/>
      <c r="U259" s="511">
        <f t="shared" si="224"/>
        <v>527</v>
      </c>
      <c r="V259" s="511">
        <f t="shared" si="225"/>
        <v>500</v>
      </c>
      <c r="W259" s="511">
        <f t="shared" si="225"/>
        <v>27</v>
      </c>
      <c r="X259" s="445">
        <f t="shared" si="229"/>
        <v>0</v>
      </c>
      <c r="Y259" s="451"/>
      <c r="Z259" s="451"/>
      <c r="AA259" s="451">
        <f>+AB259+AC259</f>
        <v>527</v>
      </c>
      <c r="AB259" s="451">
        <v>500</v>
      </c>
      <c r="AC259" s="451">
        <v>27</v>
      </c>
      <c r="AD259" s="451"/>
      <c r="AE259" s="451"/>
      <c r="AF259" s="451"/>
      <c r="AG259" s="451"/>
      <c r="AH259" s="451"/>
      <c r="AI259" s="451"/>
      <c r="AJ259" s="451"/>
      <c r="AK259" s="451"/>
      <c r="AL259" s="15"/>
    </row>
    <row r="260" spans="1:44" ht="75" hidden="1">
      <c r="A260" s="8">
        <f t="shared" si="227"/>
        <v>9</v>
      </c>
      <c r="B260" s="328" t="s">
        <v>516</v>
      </c>
      <c r="C260" s="8" t="s">
        <v>511</v>
      </c>
      <c r="D260" s="8"/>
      <c r="E260" s="8" t="s">
        <v>94</v>
      </c>
      <c r="F260" s="8" t="s">
        <v>53</v>
      </c>
      <c r="G260" s="505">
        <f t="shared" si="228"/>
        <v>430.5</v>
      </c>
      <c r="H260" s="505">
        <v>410</v>
      </c>
      <c r="I260" s="505">
        <v>20.5</v>
      </c>
      <c r="J260" s="451">
        <v>0</v>
      </c>
      <c r="K260" s="484"/>
      <c r="L260" s="451"/>
      <c r="M260" s="451"/>
      <c r="N260" s="483">
        <f>+O260+P260</f>
        <v>87.9</v>
      </c>
      <c r="O260" s="451">
        <f t="shared" si="230"/>
        <v>80</v>
      </c>
      <c r="P260" s="451">
        <f t="shared" si="230"/>
        <v>7.8999999999999986</v>
      </c>
      <c r="Q260" s="450">
        <f t="shared" si="223"/>
        <v>518.4</v>
      </c>
      <c r="R260" s="451">
        <v>490</v>
      </c>
      <c r="S260" s="451">
        <v>28.4</v>
      </c>
      <c r="T260" s="451"/>
      <c r="U260" s="511">
        <f t="shared" si="224"/>
        <v>518.4</v>
      </c>
      <c r="V260" s="511">
        <f t="shared" si="225"/>
        <v>490</v>
      </c>
      <c r="W260" s="511">
        <f t="shared" si="225"/>
        <v>28.4</v>
      </c>
      <c r="X260" s="445">
        <f t="shared" si="229"/>
        <v>0</v>
      </c>
      <c r="Y260" s="451"/>
      <c r="Z260" s="451"/>
      <c r="AA260" s="451"/>
      <c r="AB260" s="451"/>
      <c r="AC260" s="451"/>
      <c r="AD260" s="451">
        <f>+AE260+AF260</f>
        <v>518.4</v>
      </c>
      <c r="AE260" s="451">
        <v>490</v>
      </c>
      <c r="AF260" s="451">
        <v>28.4</v>
      </c>
      <c r="AG260" s="451"/>
      <c r="AH260" s="451"/>
      <c r="AI260" s="451"/>
      <c r="AJ260" s="451"/>
      <c r="AK260" s="451"/>
      <c r="AL260" s="15"/>
    </row>
    <row r="261" spans="1:44" ht="75" hidden="1">
      <c r="A261" s="8">
        <f t="shared" si="227"/>
        <v>10</v>
      </c>
      <c r="B261" s="328" t="s">
        <v>809</v>
      </c>
      <c r="C261" s="8" t="s">
        <v>334</v>
      </c>
      <c r="D261" s="8"/>
      <c r="E261" s="8" t="s">
        <v>94</v>
      </c>
      <c r="F261" s="8" t="s">
        <v>53</v>
      </c>
      <c r="G261" s="505">
        <f t="shared" si="228"/>
        <v>430.5</v>
      </c>
      <c r="H261" s="505">
        <v>410</v>
      </c>
      <c r="I261" s="505">
        <v>20.5</v>
      </c>
      <c r="J261" s="451">
        <v>0</v>
      </c>
      <c r="K261" s="484"/>
      <c r="L261" s="451"/>
      <c r="M261" s="451"/>
      <c r="N261" s="483">
        <f>+O261+P261</f>
        <v>43.5</v>
      </c>
      <c r="O261" s="451">
        <f t="shared" si="230"/>
        <v>40</v>
      </c>
      <c r="P261" s="451">
        <f t="shared" si="230"/>
        <v>3.5</v>
      </c>
      <c r="Q261" s="450">
        <f t="shared" si="223"/>
        <v>474</v>
      </c>
      <c r="R261" s="451">
        <v>450</v>
      </c>
      <c r="S261" s="451">
        <v>24</v>
      </c>
      <c r="T261" s="451"/>
      <c r="U261" s="511">
        <f t="shared" si="224"/>
        <v>474</v>
      </c>
      <c r="V261" s="511">
        <f t="shared" si="225"/>
        <v>450</v>
      </c>
      <c r="W261" s="511">
        <f t="shared" si="225"/>
        <v>24</v>
      </c>
      <c r="X261" s="445">
        <f t="shared" si="229"/>
        <v>0</v>
      </c>
      <c r="Y261" s="451"/>
      <c r="Z261" s="451"/>
      <c r="AA261" s="451">
        <f>+AB261+AC261</f>
        <v>474</v>
      </c>
      <c r="AB261" s="451">
        <v>450</v>
      </c>
      <c r="AC261" s="451">
        <v>24</v>
      </c>
      <c r="AD261" s="451"/>
      <c r="AE261" s="451"/>
      <c r="AF261" s="451"/>
      <c r="AG261" s="451"/>
      <c r="AH261" s="451"/>
      <c r="AI261" s="451"/>
      <c r="AJ261" s="451"/>
      <c r="AK261" s="451"/>
      <c r="AL261" s="15"/>
    </row>
    <row r="262" spans="1:44" ht="75" hidden="1">
      <c r="A262" s="8">
        <f t="shared" si="227"/>
        <v>11</v>
      </c>
      <c r="B262" s="376" t="s">
        <v>819</v>
      </c>
      <c r="C262" s="375" t="s">
        <v>334</v>
      </c>
      <c r="D262" s="8"/>
      <c r="E262" s="8" t="s">
        <v>159</v>
      </c>
      <c r="F262" s="8" t="s">
        <v>53</v>
      </c>
      <c r="G262" s="505">
        <f t="shared" si="228"/>
        <v>420</v>
      </c>
      <c r="H262" s="505">
        <v>400</v>
      </c>
      <c r="I262" s="505">
        <v>20</v>
      </c>
      <c r="J262" s="451">
        <v>0</v>
      </c>
      <c r="K262" s="484">
        <f>+L262+M262</f>
        <v>209</v>
      </c>
      <c r="L262" s="451">
        <f>+H262-R262</f>
        <v>200</v>
      </c>
      <c r="M262" s="451">
        <f>+I262-S262</f>
        <v>9</v>
      </c>
      <c r="N262" s="483"/>
      <c r="O262" s="451"/>
      <c r="P262" s="451"/>
      <c r="Q262" s="450">
        <f t="shared" si="223"/>
        <v>211</v>
      </c>
      <c r="R262" s="451">
        <v>200</v>
      </c>
      <c r="S262" s="451">
        <v>11</v>
      </c>
      <c r="T262" s="451"/>
      <c r="U262" s="511">
        <f t="shared" si="224"/>
        <v>211</v>
      </c>
      <c r="V262" s="511">
        <f t="shared" si="225"/>
        <v>200</v>
      </c>
      <c r="W262" s="511">
        <f t="shared" si="225"/>
        <v>11</v>
      </c>
      <c r="X262" s="445">
        <f t="shared" si="229"/>
        <v>0</v>
      </c>
      <c r="Y262" s="451"/>
      <c r="Z262" s="451"/>
      <c r="AA262" s="451">
        <f>+AB262+AC262</f>
        <v>211</v>
      </c>
      <c r="AB262" s="451">
        <v>200</v>
      </c>
      <c r="AC262" s="451">
        <v>11</v>
      </c>
      <c r="AD262" s="451"/>
      <c r="AE262" s="451"/>
      <c r="AF262" s="451"/>
      <c r="AG262" s="451"/>
      <c r="AH262" s="451"/>
      <c r="AI262" s="451"/>
      <c r="AJ262" s="451"/>
      <c r="AK262" s="451"/>
      <c r="AL262" s="15"/>
    </row>
    <row r="263" spans="1:44" ht="75" hidden="1">
      <c r="A263" s="8">
        <f t="shared" si="227"/>
        <v>12</v>
      </c>
      <c r="B263" s="376" t="s">
        <v>820</v>
      </c>
      <c r="C263" s="8" t="s">
        <v>511</v>
      </c>
      <c r="D263" s="8"/>
      <c r="E263" s="8" t="s">
        <v>159</v>
      </c>
      <c r="F263" s="8" t="s">
        <v>53</v>
      </c>
      <c r="G263" s="505">
        <f t="shared" si="228"/>
        <v>420</v>
      </c>
      <c r="H263" s="505">
        <v>400</v>
      </c>
      <c r="I263" s="505">
        <v>20</v>
      </c>
      <c r="J263" s="451">
        <v>0</v>
      </c>
      <c r="K263" s="484">
        <f>+L263+M263</f>
        <v>104.85999999999999</v>
      </c>
      <c r="L263" s="451">
        <f>+H263-R263</f>
        <v>101.45999999999998</v>
      </c>
      <c r="M263" s="451">
        <f>+I263-S263</f>
        <v>3.3999999999999986</v>
      </c>
      <c r="N263" s="483"/>
      <c r="O263" s="451"/>
      <c r="P263" s="451"/>
      <c r="Q263" s="450">
        <f t="shared" si="223"/>
        <v>315.14000000000004</v>
      </c>
      <c r="R263" s="451">
        <v>298.54000000000002</v>
      </c>
      <c r="S263" s="451">
        <v>16.600000000000001</v>
      </c>
      <c r="T263" s="451"/>
      <c r="U263" s="511">
        <f t="shared" si="224"/>
        <v>315.14000000000004</v>
      </c>
      <c r="V263" s="511">
        <f t="shared" si="225"/>
        <v>298.54000000000002</v>
      </c>
      <c r="W263" s="511">
        <f t="shared" si="225"/>
        <v>16.600000000000001</v>
      </c>
      <c r="X263" s="445">
        <f t="shared" si="229"/>
        <v>0</v>
      </c>
      <c r="Y263" s="451"/>
      <c r="Z263" s="451"/>
      <c r="AA263" s="451">
        <f>+AB263+AC263</f>
        <v>315.14000000000004</v>
      </c>
      <c r="AB263" s="451">
        <v>298.54000000000002</v>
      </c>
      <c r="AC263" s="451">
        <v>16.600000000000001</v>
      </c>
      <c r="AD263" s="451"/>
      <c r="AE263" s="451"/>
      <c r="AF263" s="451"/>
      <c r="AG263" s="451"/>
      <c r="AH263" s="451"/>
      <c r="AI263" s="451"/>
      <c r="AJ263" s="451"/>
      <c r="AK263" s="451"/>
      <c r="AL263" s="15"/>
    </row>
    <row r="264" spans="1:44" ht="75" hidden="1">
      <c r="A264" s="8">
        <f t="shared" si="227"/>
        <v>13</v>
      </c>
      <c r="B264" s="328" t="s">
        <v>517</v>
      </c>
      <c r="C264" s="8" t="s">
        <v>506</v>
      </c>
      <c r="D264" s="8"/>
      <c r="E264" s="8" t="s">
        <v>159</v>
      </c>
      <c r="F264" s="8" t="s">
        <v>53</v>
      </c>
      <c r="G264" s="505">
        <f t="shared" si="228"/>
        <v>420</v>
      </c>
      <c r="H264" s="505">
        <v>400</v>
      </c>
      <c r="I264" s="505">
        <v>20</v>
      </c>
      <c r="J264" s="451">
        <v>0</v>
      </c>
      <c r="K264" s="484"/>
      <c r="L264" s="451"/>
      <c r="M264" s="451"/>
      <c r="N264" s="483">
        <f>+O264+P264</f>
        <v>212</v>
      </c>
      <c r="O264" s="451">
        <f t="shared" ref="O264:P268" si="231">+R264-H264</f>
        <v>200</v>
      </c>
      <c r="P264" s="451">
        <f t="shared" si="231"/>
        <v>12</v>
      </c>
      <c r="Q264" s="450">
        <f t="shared" si="223"/>
        <v>632</v>
      </c>
      <c r="R264" s="451">
        <v>600</v>
      </c>
      <c r="S264" s="451">
        <v>32</v>
      </c>
      <c r="T264" s="451"/>
      <c r="U264" s="511">
        <f t="shared" si="224"/>
        <v>632</v>
      </c>
      <c r="V264" s="511">
        <f t="shared" si="225"/>
        <v>600</v>
      </c>
      <c r="W264" s="511">
        <f t="shared" si="225"/>
        <v>32</v>
      </c>
      <c r="X264" s="445">
        <f t="shared" si="229"/>
        <v>0</v>
      </c>
      <c r="Y264" s="451"/>
      <c r="Z264" s="451"/>
      <c r="AA264" s="451">
        <f>+AB264+AC264</f>
        <v>632</v>
      </c>
      <c r="AB264" s="451">
        <v>600</v>
      </c>
      <c r="AC264" s="451">
        <v>32</v>
      </c>
      <c r="AD264" s="451"/>
      <c r="AE264" s="451"/>
      <c r="AF264" s="451"/>
      <c r="AG264" s="451"/>
      <c r="AH264" s="451"/>
      <c r="AI264" s="451"/>
      <c r="AJ264" s="451"/>
      <c r="AK264" s="451"/>
      <c r="AL264" s="15"/>
    </row>
    <row r="265" spans="1:44" ht="30" hidden="1">
      <c r="A265" s="8">
        <f t="shared" si="227"/>
        <v>14</v>
      </c>
      <c r="B265" s="328" t="s">
        <v>524</v>
      </c>
      <c r="C265" s="8" t="s">
        <v>513</v>
      </c>
      <c r="D265" s="8"/>
      <c r="E265" s="8" t="s">
        <v>525</v>
      </c>
      <c r="F265" s="8" t="s">
        <v>54</v>
      </c>
      <c r="G265" s="445">
        <f t="shared" si="228"/>
        <v>210</v>
      </c>
      <c r="H265" s="445">
        <v>200</v>
      </c>
      <c r="I265" s="445">
        <v>10</v>
      </c>
      <c r="J265" s="451">
        <v>0</v>
      </c>
      <c r="K265" s="484"/>
      <c r="L265" s="451"/>
      <c r="M265" s="451"/>
      <c r="N265" s="483">
        <f>+O265+P265</f>
        <v>267</v>
      </c>
      <c r="O265" s="451">
        <f t="shared" si="231"/>
        <v>250</v>
      </c>
      <c r="P265" s="451">
        <f t="shared" si="231"/>
        <v>17</v>
      </c>
      <c r="Q265" s="450">
        <f t="shared" si="223"/>
        <v>477</v>
      </c>
      <c r="R265" s="451">
        <v>450</v>
      </c>
      <c r="S265" s="451">
        <v>27</v>
      </c>
      <c r="T265" s="451"/>
      <c r="U265" s="511">
        <f t="shared" si="224"/>
        <v>477</v>
      </c>
      <c r="V265" s="511">
        <f t="shared" si="225"/>
        <v>450</v>
      </c>
      <c r="W265" s="511">
        <f t="shared" si="225"/>
        <v>27</v>
      </c>
      <c r="X265" s="445">
        <f t="shared" si="229"/>
        <v>0</v>
      </c>
      <c r="Y265" s="451"/>
      <c r="Z265" s="451"/>
      <c r="AA265" s="451"/>
      <c r="AB265" s="451"/>
      <c r="AC265" s="451"/>
      <c r="AD265" s="451">
        <f>+AE265+AF265</f>
        <v>477</v>
      </c>
      <c r="AE265" s="451">
        <v>450</v>
      </c>
      <c r="AF265" s="451">
        <v>27</v>
      </c>
      <c r="AG265" s="451"/>
      <c r="AH265" s="451"/>
      <c r="AI265" s="451"/>
      <c r="AJ265" s="451"/>
      <c r="AK265" s="451"/>
      <c r="AL265" s="15"/>
    </row>
    <row r="266" spans="1:44" ht="75" hidden="1">
      <c r="A266" s="8">
        <f t="shared" si="227"/>
        <v>15</v>
      </c>
      <c r="B266" s="376" t="s">
        <v>821</v>
      </c>
      <c r="C266" s="375" t="s">
        <v>334</v>
      </c>
      <c r="D266" s="8"/>
      <c r="E266" s="8" t="s">
        <v>159</v>
      </c>
      <c r="F266" s="8" t="s">
        <v>54</v>
      </c>
      <c r="G266" s="505">
        <f>H266+I266</f>
        <v>452.5</v>
      </c>
      <c r="H266" s="505">
        <v>431</v>
      </c>
      <c r="I266" s="505">
        <v>21.5</v>
      </c>
      <c r="J266" s="451">
        <v>0</v>
      </c>
      <c r="K266" s="484"/>
      <c r="L266" s="451"/>
      <c r="M266" s="451"/>
      <c r="N266" s="483">
        <f>+O266+P266</f>
        <v>322.79999999999995</v>
      </c>
      <c r="O266" s="451">
        <f t="shared" si="231"/>
        <v>301.89999999999998</v>
      </c>
      <c r="P266" s="451">
        <f t="shared" si="231"/>
        <v>20.9</v>
      </c>
      <c r="Q266" s="450">
        <f t="shared" si="223"/>
        <v>775.3</v>
      </c>
      <c r="R266" s="451">
        <v>732.9</v>
      </c>
      <c r="S266" s="451">
        <v>42.4</v>
      </c>
      <c r="T266" s="451"/>
      <c r="U266" s="511">
        <f t="shared" si="224"/>
        <v>775.3</v>
      </c>
      <c r="V266" s="511">
        <f t="shared" si="225"/>
        <v>732.9</v>
      </c>
      <c r="W266" s="511">
        <f t="shared" si="225"/>
        <v>42.4</v>
      </c>
      <c r="X266" s="445">
        <f t="shared" si="229"/>
        <v>0</v>
      </c>
      <c r="Y266" s="451"/>
      <c r="Z266" s="451"/>
      <c r="AA266" s="451"/>
      <c r="AB266" s="451"/>
      <c r="AC266" s="451"/>
      <c r="AD266" s="451">
        <f>+AE266+AF266</f>
        <v>775.3</v>
      </c>
      <c r="AE266" s="451">
        <v>732.9</v>
      </c>
      <c r="AF266" s="451">
        <v>42.4</v>
      </c>
      <c r="AG266" s="451"/>
      <c r="AH266" s="451"/>
      <c r="AI266" s="451"/>
      <c r="AJ266" s="451"/>
      <c r="AK266" s="451"/>
      <c r="AL266" s="15"/>
    </row>
    <row r="267" spans="1:44" s="365" customFormat="1" ht="75" hidden="1">
      <c r="A267" s="8">
        <f t="shared" si="227"/>
        <v>16</v>
      </c>
      <c r="B267" s="328" t="s">
        <v>526</v>
      </c>
      <c r="C267" s="8" t="s">
        <v>515</v>
      </c>
      <c r="D267" s="8"/>
      <c r="E267" s="8" t="s">
        <v>527</v>
      </c>
      <c r="F267" s="8" t="s">
        <v>54</v>
      </c>
      <c r="G267" s="505">
        <f t="shared" si="228"/>
        <v>420</v>
      </c>
      <c r="H267" s="505">
        <v>400</v>
      </c>
      <c r="I267" s="505">
        <v>20</v>
      </c>
      <c r="J267" s="451">
        <v>0</v>
      </c>
      <c r="K267" s="484"/>
      <c r="L267" s="451"/>
      <c r="M267" s="451"/>
      <c r="N267" s="483">
        <f>+O267+P267</f>
        <v>267.5</v>
      </c>
      <c r="O267" s="451">
        <f t="shared" si="231"/>
        <v>250</v>
      </c>
      <c r="P267" s="451">
        <f t="shared" si="231"/>
        <v>17.5</v>
      </c>
      <c r="Q267" s="450">
        <f t="shared" si="223"/>
        <v>687.5</v>
      </c>
      <c r="R267" s="451">
        <v>650</v>
      </c>
      <c r="S267" s="451">
        <v>37.5</v>
      </c>
      <c r="T267" s="451"/>
      <c r="U267" s="511">
        <f t="shared" si="224"/>
        <v>687.5</v>
      </c>
      <c r="V267" s="511">
        <f t="shared" si="225"/>
        <v>650</v>
      </c>
      <c r="W267" s="511">
        <f t="shared" si="225"/>
        <v>37.5</v>
      </c>
      <c r="X267" s="445">
        <f t="shared" si="229"/>
        <v>0</v>
      </c>
      <c r="Y267" s="451"/>
      <c r="Z267" s="451"/>
      <c r="AA267" s="451"/>
      <c r="AB267" s="451"/>
      <c r="AC267" s="451"/>
      <c r="AD267" s="451">
        <f>+AE267+AF267</f>
        <v>687.5</v>
      </c>
      <c r="AE267" s="451">
        <v>650</v>
      </c>
      <c r="AF267" s="451">
        <v>37.5</v>
      </c>
      <c r="AG267" s="451"/>
      <c r="AH267" s="451"/>
      <c r="AI267" s="451"/>
      <c r="AJ267" s="451"/>
      <c r="AK267" s="451"/>
      <c r="AL267" s="15"/>
      <c r="AP267" s="1"/>
      <c r="AQ267" s="1"/>
      <c r="AR267" s="1"/>
    </row>
    <row r="268" spans="1:44" s="365" customFormat="1" ht="30" hidden="1">
      <c r="A268" s="8">
        <f t="shared" si="227"/>
        <v>17</v>
      </c>
      <c r="B268" s="328" t="s">
        <v>536</v>
      </c>
      <c r="C268" s="8" t="s">
        <v>515</v>
      </c>
      <c r="D268" s="8"/>
      <c r="E268" s="8" t="s">
        <v>537</v>
      </c>
      <c r="F268" s="8" t="s">
        <v>54</v>
      </c>
      <c r="G268" s="445">
        <f t="shared" si="228"/>
        <v>210</v>
      </c>
      <c r="H268" s="445">
        <v>200</v>
      </c>
      <c r="I268" s="445">
        <v>10</v>
      </c>
      <c r="J268" s="451">
        <v>0</v>
      </c>
      <c r="K268" s="484"/>
      <c r="L268" s="451"/>
      <c r="M268" s="451"/>
      <c r="N268" s="483">
        <f>+O268+P268</f>
        <v>54.3</v>
      </c>
      <c r="O268" s="451">
        <f t="shared" si="231"/>
        <v>50</v>
      </c>
      <c r="P268" s="451">
        <f t="shared" si="231"/>
        <v>4.3000000000000007</v>
      </c>
      <c r="Q268" s="450">
        <f t="shared" si="223"/>
        <v>264.3</v>
      </c>
      <c r="R268" s="451">
        <v>250</v>
      </c>
      <c r="S268" s="451">
        <v>14.3</v>
      </c>
      <c r="T268" s="451"/>
      <c r="U268" s="511">
        <f t="shared" si="224"/>
        <v>264.3</v>
      </c>
      <c r="V268" s="511">
        <f t="shared" si="225"/>
        <v>250</v>
      </c>
      <c r="W268" s="511">
        <f t="shared" si="225"/>
        <v>14.3</v>
      </c>
      <c r="X268" s="445">
        <f t="shared" si="229"/>
        <v>0</v>
      </c>
      <c r="Y268" s="451"/>
      <c r="Z268" s="451"/>
      <c r="AA268" s="451"/>
      <c r="AB268" s="451"/>
      <c r="AC268" s="451"/>
      <c r="AD268" s="451">
        <f>+AE268+AF268</f>
        <v>264.3</v>
      </c>
      <c r="AE268" s="451">
        <v>250</v>
      </c>
      <c r="AF268" s="451">
        <v>14.3</v>
      </c>
      <c r="AG268" s="451"/>
      <c r="AH268" s="451"/>
      <c r="AI268" s="451"/>
      <c r="AJ268" s="451"/>
      <c r="AK268" s="451"/>
      <c r="AL268" s="15"/>
      <c r="AP268" s="1"/>
      <c r="AQ268" s="1"/>
      <c r="AR268" s="1"/>
    </row>
    <row r="269" spans="1:44" s="365" customFormat="1" ht="30" hidden="1">
      <c r="A269" s="8">
        <f t="shared" si="227"/>
        <v>18</v>
      </c>
      <c r="B269" s="328" t="s">
        <v>518</v>
      </c>
      <c r="C269" s="8" t="s">
        <v>502</v>
      </c>
      <c r="D269" s="8"/>
      <c r="E269" s="8" t="s">
        <v>519</v>
      </c>
      <c r="F269" s="8" t="s">
        <v>55</v>
      </c>
      <c r="G269" s="505">
        <f>H269+I269</f>
        <v>157.5</v>
      </c>
      <c r="H269" s="505">
        <v>150</v>
      </c>
      <c r="I269" s="505">
        <v>7.5</v>
      </c>
      <c r="J269" s="451">
        <v>0</v>
      </c>
      <c r="K269" s="484">
        <f>+L269+M269</f>
        <v>32.61</v>
      </c>
      <c r="L269" s="451">
        <f>+H269-R269</f>
        <v>30</v>
      </c>
      <c r="M269" s="451">
        <f>+I269-S269</f>
        <v>2.6100000000000003</v>
      </c>
      <c r="N269" s="483"/>
      <c r="O269" s="451"/>
      <c r="P269" s="451"/>
      <c r="Q269" s="451">
        <f t="shared" si="223"/>
        <v>124.89</v>
      </c>
      <c r="R269" s="451">
        <v>120</v>
      </c>
      <c r="S269" s="451">
        <v>4.8899999999999997</v>
      </c>
      <c r="T269" s="451"/>
      <c r="U269" s="511">
        <f>+V269+W269</f>
        <v>0</v>
      </c>
      <c r="V269" s="511">
        <f t="shared" si="225"/>
        <v>0</v>
      </c>
      <c r="W269" s="511">
        <f t="shared" si="225"/>
        <v>0</v>
      </c>
      <c r="X269" s="445">
        <f>Y269+Z269</f>
        <v>0</v>
      </c>
      <c r="Y269" s="451"/>
      <c r="Z269" s="451"/>
      <c r="AA269" s="451"/>
      <c r="AB269" s="451"/>
      <c r="AC269" s="451"/>
      <c r="AD269" s="451"/>
      <c r="AE269" s="451"/>
      <c r="AF269" s="451"/>
      <c r="AG269" s="451">
        <f t="shared" ref="AG269:AG274" si="232">+AH269+AI269</f>
        <v>124.89</v>
      </c>
      <c r="AH269" s="451">
        <v>120</v>
      </c>
      <c r="AI269" s="451">
        <v>4.8899999999999997</v>
      </c>
      <c r="AJ269" s="451"/>
      <c r="AK269" s="451"/>
      <c r="AL269" s="15"/>
      <c r="AP269" s="1"/>
      <c r="AQ269" s="1"/>
      <c r="AR269" s="1"/>
    </row>
    <row r="270" spans="1:44" s="365" customFormat="1" ht="75" hidden="1">
      <c r="A270" s="8">
        <f t="shared" si="227"/>
        <v>19</v>
      </c>
      <c r="B270" s="376" t="s">
        <v>822</v>
      </c>
      <c r="C270" s="8" t="s">
        <v>511</v>
      </c>
      <c r="D270" s="8"/>
      <c r="E270" s="8" t="s">
        <v>159</v>
      </c>
      <c r="F270" s="8" t="s">
        <v>55</v>
      </c>
      <c r="G270" s="505">
        <f>H270+I270</f>
        <v>420</v>
      </c>
      <c r="H270" s="505">
        <v>400</v>
      </c>
      <c r="I270" s="505">
        <v>20</v>
      </c>
      <c r="J270" s="451">
        <v>0</v>
      </c>
      <c r="K270" s="484"/>
      <c r="L270" s="451"/>
      <c r="M270" s="451"/>
      <c r="N270" s="483">
        <f>+O270+P270</f>
        <v>100.37</v>
      </c>
      <c r="O270" s="451">
        <f>+R270-H270</f>
        <v>100</v>
      </c>
      <c r="P270" s="451">
        <f>+S270-I270</f>
        <v>0.37000000000000099</v>
      </c>
      <c r="Q270" s="451">
        <f t="shared" si="223"/>
        <v>520.37</v>
      </c>
      <c r="R270" s="451">
        <v>500</v>
      </c>
      <c r="S270" s="451">
        <v>20.37</v>
      </c>
      <c r="T270" s="451"/>
      <c r="U270" s="511">
        <f>+V270+W270</f>
        <v>0</v>
      </c>
      <c r="V270" s="511">
        <f t="shared" si="225"/>
        <v>0</v>
      </c>
      <c r="W270" s="511">
        <f t="shared" si="225"/>
        <v>0</v>
      </c>
      <c r="X270" s="445">
        <f>Y270+Z270</f>
        <v>0</v>
      </c>
      <c r="Y270" s="451"/>
      <c r="Z270" s="451"/>
      <c r="AA270" s="451"/>
      <c r="AB270" s="451"/>
      <c r="AC270" s="451"/>
      <c r="AD270" s="451"/>
      <c r="AE270" s="451"/>
      <c r="AF270" s="451"/>
      <c r="AG270" s="451">
        <f t="shared" si="232"/>
        <v>520.37</v>
      </c>
      <c r="AH270" s="451">
        <v>500</v>
      </c>
      <c r="AI270" s="451">
        <v>20.37</v>
      </c>
      <c r="AJ270" s="451"/>
      <c r="AK270" s="451"/>
      <c r="AL270" s="15"/>
      <c r="AP270" s="1"/>
      <c r="AQ270" s="1"/>
      <c r="AR270" s="1"/>
    </row>
    <row r="271" spans="1:44" s="365" customFormat="1" ht="30" hidden="1">
      <c r="A271" s="8">
        <f t="shared" si="227"/>
        <v>20</v>
      </c>
      <c r="B271" s="328" t="s">
        <v>528</v>
      </c>
      <c r="C271" s="8" t="s">
        <v>529</v>
      </c>
      <c r="D271" s="8"/>
      <c r="E271" s="8" t="s">
        <v>530</v>
      </c>
      <c r="F271" s="8" t="s">
        <v>55</v>
      </c>
      <c r="G271" s="445">
        <f>H271+I271</f>
        <v>313.39999999999998</v>
      </c>
      <c r="H271" s="445">
        <v>300</v>
      </c>
      <c r="I271" s="445">
        <v>13.4</v>
      </c>
      <c r="J271" s="451">
        <v>0</v>
      </c>
      <c r="K271" s="484">
        <f t="shared" si="222"/>
        <v>0</v>
      </c>
      <c r="L271" s="451"/>
      <c r="M271" s="451"/>
      <c r="N271" s="483"/>
      <c r="O271" s="451"/>
      <c r="P271" s="451"/>
      <c r="Q271" s="451">
        <f t="shared" si="223"/>
        <v>313.39999999999998</v>
      </c>
      <c r="R271" s="451">
        <v>300</v>
      </c>
      <c r="S271" s="451">
        <v>13.4</v>
      </c>
      <c r="T271" s="451"/>
      <c r="U271" s="511">
        <f>+V271+W271</f>
        <v>0</v>
      </c>
      <c r="V271" s="511">
        <f t="shared" si="225"/>
        <v>0</v>
      </c>
      <c r="W271" s="511">
        <f t="shared" si="225"/>
        <v>0</v>
      </c>
      <c r="X271" s="445">
        <f>Y271+Z271</f>
        <v>0</v>
      </c>
      <c r="Y271" s="451"/>
      <c r="Z271" s="451"/>
      <c r="AA271" s="451"/>
      <c r="AB271" s="451"/>
      <c r="AC271" s="451"/>
      <c r="AD271" s="451"/>
      <c r="AE271" s="451"/>
      <c r="AF271" s="451"/>
      <c r="AG271" s="451">
        <f t="shared" si="232"/>
        <v>313.39999999999998</v>
      </c>
      <c r="AH271" s="451">
        <v>300</v>
      </c>
      <c r="AI271" s="451">
        <v>13.4</v>
      </c>
      <c r="AJ271" s="451"/>
      <c r="AK271" s="451"/>
      <c r="AL271" s="15"/>
      <c r="AP271" s="1"/>
      <c r="AQ271" s="1"/>
      <c r="AR271" s="1"/>
    </row>
    <row r="272" spans="1:44" s="365" customFormat="1" ht="30" hidden="1">
      <c r="A272" s="8">
        <f t="shared" si="227"/>
        <v>21</v>
      </c>
      <c r="B272" s="328" t="s">
        <v>531</v>
      </c>
      <c r="C272" s="8" t="s">
        <v>509</v>
      </c>
      <c r="D272" s="8"/>
      <c r="E272" s="8" t="s">
        <v>532</v>
      </c>
      <c r="F272" s="8" t="s">
        <v>55</v>
      </c>
      <c r="G272" s="505">
        <f>H272+I272</f>
        <v>262.5</v>
      </c>
      <c r="H272" s="505">
        <v>250</v>
      </c>
      <c r="I272" s="505">
        <v>12.5</v>
      </c>
      <c r="J272" s="451">
        <v>0</v>
      </c>
      <c r="K272" s="484">
        <f t="shared" si="222"/>
        <v>0</v>
      </c>
      <c r="L272" s="451"/>
      <c r="M272" s="451"/>
      <c r="N272" s="483"/>
      <c r="O272" s="451"/>
      <c r="P272" s="451"/>
      <c r="Q272" s="451">
        <f t="shared" si="223"/>
        <v>262.5</v>
      </c>
      <c r="R272" s="451">
        <v>250</v>
      </c>
      <c r="S272" s="451">
        <v>12.5</v>
      </c>
      <c r="T272" s="451"/>
      <c r="U272" s="511">
        <f>+V272+W272</f>
        <v>0</v>
      </c>
      <c r="V272" s="511">
        <f t="shared" si="225"/>
        <v>0</v>
      </c>
      <c r="W272" s="511">
        <f t="shared" si="225"/>
        <v>0</v>
      </c>
      <c r="X272" s="445">
        <f>Y272+Z272</f>
        <v>0</v>
      </c>
      <c r="Y272" s="451"/>
      <c r="Z272" s="451"/>
      <c r="AA272" s="451"/>
      <c r="AB272" s="451"/>
      <c r="AC272" s="451"/>
      <c r="AD272" s="451"/>
      <c r="AE272" s="451"/>
      <c r="AF272" s="451"/>
      <c r="AG272" s="451">
        <f t="shared" si="232"/>
        <v>262.5</v>
      </c>
      <c r="AH272" s="451">
        <v>250</v>
      </c>
      <c r="AI272" s="451">
        <v>12.5</v>
      </c>
      <c r="AJ272" s="451"/>
      <c r="AK272" s="451"/>
      <c r="AL272" s="15"/>
      <c r="AP272" s="1"/>
      <c r="AQ272" s="1"/>
      <c r="AR272" s="1"/>
    </row>
    <row r="273" spans="1:44" s="365" customFormat="1" ht="30" hidden="1">
      <c r="A273" s="8">
        <f t="shared" si="227"/>
        <v>22</v>
      </c>
      <c r="B273" s="376" t="s">
        <v>810</v>
      </c>
      <c r="C273" s="375" t="s">
        <v>334</v>
      </c>
      <c r="D273" s="8"/>
      <c r="E273" s="8" t="s">
        <v>533</v>
      </c>
      <c r="F273" s="8" t="s">
        <v>55</v>
      </c>
      <c r="G273" s="445">
        <f>H273+I273</f>
        <v>315</v>
      </c>
      <c r="H273" s="445">
        <v>300</v>
      </c>
      <c r="I273" s="445">
        <v>15</v>
      </c>
      <c r="J273" s="451">
        <v>0</v>
      </c>
      <c r="K273" s="484">
        <f>+L273+M273</f>
        <v>10.5</v>
      </c>
      <c r="L273" s="451"/>
      <c r="M273" s="451">
        <f>+I273-S273</f>
        <v>10.5</v>
      </c>
      <c r="N273" s="483">
        <f>+O273+P273</f>
        <v>9.8100000000000023</v>
      </c>
      <c r="O273" s="451">
        <f>+R273-H273</f>
        <v>9.8100000000000023</v>
      </c>
      <c r="P273" s="451"/>
      <c r="Q273" s="451">
        <f t="shared" si="223"/>
        <v>314.31</v>
      </c>
      <c r="R273" s="451">
        <v>309.81</v>
      </c>
      <c r="S273" s="451">
        <v>4.5</v>
      </c>
      <c r="T273" s="451"/>
      <c r="U273" s="511">
        <f>+V273+W273</f>
        <v>0</v>
      </c>
      <c r="V273" s="511">
        <f t="shared" si="225"/>
        <v>0</v>
      </c>
      <c r="W273" s="511">
        <f t="shared" si="225"/>
        <v>0</v>
      </c>
      <c r="X273" s="445">
        <f>Y273+Z273</f>
        <v>0</v>
      </c>
      <c r="Y273" s="451"/>
      <c r="Z273" s="451"/>
      <c r="AA273" s="451"/>
      <c r="AB273" s="451"/>
      <c r="AC273" s="451"/>
      <c r="AD273" s="451"/>
      <c r="AE273" s="451"/>
      <c r="AF273" s="451"/>
      <c r="AG273" s="451">
        <f t="shared" si="232"/>
        <v>314.31</v>
      </c>
      <c r="AH273" s="451">
        <v>309.81</v>
      </c>
      <c r="AI273" s="451">
        <v>4.5</v>
      </c>
      <c r="AJ273" s="451"/>
      <c r="AK273" s="451"/>
      <c r="AL273" s="15"/>
      <c r="AP273" s="1"/>
      <c r="AQ273" s="1"/>
      <c r="AR273" s="1"/>
    </row>
    <row r="274" spans="1:44" s="365" customFormat="1" ht="75" hidden="1">
      <c r="A274" s="8">
        <f t="shared" si="227"/>
        <v>23</v>
      </c>
      <c r="B274" s="376" t="s">
        <v>823</v>
      </c>
      <c r="C274" s="8" t="s">
        <v>334</v>
      </c>
      <c r="D274" s="8"/>
      <c r="E274" s="8" t="s">
        <v>159</v>
      </c>
      <c r="F274" s="8" t="s">
        <v>55</v>
      </c>
      <c r="G274" s="445">
        <f t="shared" si="228"/>
        <v>525</v>
      </c>
      <c r="H274" s="445">
        <v>500</v>
      </c>
      <c r="I274" s="445">
        <v>25</v>
      </c>
      <c r="J274" s="451">
        <v>0</v>
      </c>
      <c r="K274" s="484">
        <f>+L274+M274</f>
        <v>25.45</v>
      </c>
      <c r="L274" s="451">
        <f>+H274-R274</f>
        <v>20</v>
      </c>
      <c r="M274" s="451">
        <f>+I274-S274</f>
        <v>5.4499999999999993</v>
      </c>
      <c r="N274" s="483"/>
      <c r="O274" s="451"/>
      <c r="P274" s="451"/>
      <c r="Q274" s="451">
        <f t="shared" si="223"/>
        <v>499.55</v>
      </c>
      <c r="R274" s="451">
        <v>480</v>
      </c>
      <c r="S274" s="451">
        <v>19.55</v>
      </c>
      <c r="T274" s="451"/>
      <c r="U274" s="511">
        <f t="shared" si="224"/>
        <v>0</v>
      </c>
      <c r="V274" s="511">
        <f t="shared" si="225"/>
        <v>0</v>
      </c>
      <c r="W274" s="511">
        <f t="shared" si="225"/>
        <v>0</v>
      </c>
      <c r="X274" s="445">
        <f t="shared" si="229"/>
        <v>0</v>
      </c>
      <c r="Y274" s="451"/>
      <c r="Z274" s="451"/>
      <c r="AA274" s="451"/>
      <c r="AB274" s="451"/>
      <c r="AC274" s="451"/>
      <c r="AD274" s="451"/>
      <c r="AE274" s="451"/>
      <c r="AF274" s="451"/>
      <c r="AG274" s="451">
        <f t="shared" si="232"/>
        <v>499.55</v>
      </c>
      <c r="AH274" s="451">
        <v>480</v>
      </c>
      <c r="AI274" s="451">
        <v>19.55</v>
      </c>
      <c r="AJ274" s="451"/>
      <c r="AK274" s="451"/>
      <c r="AL274" s="15"/>
      <c r="AP274" s="1"/>
      <c r="AQ274" s="1"/>
      <c r="AR274" s="1"/>
    </row>
    <row r="275" spans="1:44" s="365" customFormat="1" ht="75" hidden="1">
      <c r="A275" s="8">
        <f t="shared" si="227"/>
        <v>24</v>
      </c>
      <c r="B275" s="376" t="s">
        <v>824</v>
      </c>
      <c r="C275" s="8" t="s">
        <v>511</v>
      </c>
      <c r="D275" s="8"/>
      <c r="E275" s="8" t="s">
        <v>159</v>
      </c>
      <c r="F275" s="8">
        <v>2025</v>
      </c>
      <c r="G275" s="445">
        <f t="shared" si="228"/>
        <v>525</v>
      </c>
      <c r="H275" s="445">
        <v>500</v>
      </c>
      <c r="I275" s="445">
        <v>25</v>
      </c>
      <c r="J275" s="451">
        <v>0</v>
      </c>
      <c r="K275" s="484">
        <f t="shared" si="222"/>
        <v>0</v>
      </c>
      <c r="L275" s="451"/>
      <c r="M275" s="451"/>
      <c r="N275" s="483"/>
      <c r="O275" s="451"/>
      <c r="P275" s="451"/>
      <c r="Q275" s="445">
        <f t="shared" ref="Q275" si="233">R275+S275</f>
        <v>525</v>
      </c>
      <c r="R275" s="445">
        <v>500</v>
      </c>
      <c r="S275" s="445">
        <v>25</v>
      </c>
      <c r="T275" s="451"/>
      <c r="U275" s="511">
        <f t="shared" si="224"/>
        <v>0</v>
      </c>
      <c r="V275" s="511">
        <f t="shared" si="225"/>
        <v>0</v>
      </c>
      <c r="W275" s="511">
        <f t="shared" si="225"/>
        <v>0</v>
      </c>
      <c r="X275" s="445">
        <f t="shared" si="229"/>
        <v>0</v>
      </c>
      <c r="Y275" s="451"/>
      <c r="Z275" s="451"/>
      <c r="AA275" s="451"/>
      <c r="AB275" s="451"/>
      <c r="AC275" s="451"/>
      <c r="AD275" s="451"/>
      <c r="AE275" s="451"/>
      <c r="AF275" s="451"/>
      <c r="AG275" s="445">
        <f t="shared" ref="AG275" si="234">AH275+AI275</f>
        <v>525</v>
      </c>
      <c r="AH275" s="445">
        <v>500</v>
      </c>
      <c r="AI275" s="445">
        <v>25</v>
      </c>
      <c r="AJ275" s="451"/>
      <c r="AK275" s="451"/>
      <c r="AL275" s="15"/>
      <c r="AP275" s="1"/>
      <c r="AQ275" s="1"/>
      <c r="AR275" s="1"/>
    </row>
    <row r="276" spans="1:44" s="365" customFormat="1" ht="30" hidden="1">
      <c r="A276" s="8">
        <f t="shared" si="227"/>
        <v>25</v>
      </c>
      <c r="B276" s="328" t="s">
        <v>541</v>
      </c>
      <c r="C276" s="8" t="s">
        <v>509</v>
      </c>
      <c r="D276" s="8"/>
      <c r="E276" s="8" t="s">
        <v>812</v>
      </c>
      <c r="F276" s="8" t="s">
        <v>55</v>
      </c>
      <c r="G276" s="505">
        <f t="shared" si="228"/>
        <v>430.5</v>
      </c>
      <c r="H276" s="505">
        <v>410</v>
      </c>
      <c r="I276" s="505">
        <v>20.5</v>
      </c>
      <c r="J276" s="451">
        <v>0</v>
      </c>
      <c r="K276" s="484">
        <f>+L276+M276</f>
        <v>0.94999999999999929</v>
      </c>
      <c r="L276" s="451"/>
      <c r="M276" s="451">
        <f>+I276-S276</f>
        <v>0.94999999999999929</v>
      </c>
      <c r="N276" s="483">
        <f>+O276+P276</f>
        <v>70</v>
      </c>
      <c r="O276" s="451">
        <f>+R276-H276</f>
        <v>70</v>
      </c>
      <c r="P276" s="451"/>
      <c r="Q276" s="451">
        <f>+R276+S276</f>
        <v>499.55</v>
      </c>
      <c r="R276" s="451">
        <v>480</v>
      </c>
      <c r="S276" s="451">
        <v>19.55</v>
      </c>
      <c r="T276" s="451"/>
      <c r="U276" s="511">
        <f t="shared" si="224"/>
        <v>0</v>
      </c>
      <c r="V276" s="511">
        <f t="shared" si="225"/>
        <v>0</v>
      </c>
      <c r="W276" s="511">
        <f t="shared" si="225"/>
        <v>0</v>
      </c>
      <c r="X276" s="445">
        <f t="shared" si="229"/>
        <v>0</v>
      </c>
      <c r="Y276" s="451"/>
      <c r="Z276" s="451"/>
      <c r="AA276" s="451"/>
      <c r="AB276" s="451"/>
      <c r="AC276" s="451"/>
      <c r="AD276" s="451"/>
      <c r="AE276" s="451"/>
      <c r="AF276" s="451"/>
      <c r="AG276" s="451">
        <f>+AH276+AI276</f>
        <v>499.55</v>
      </c>
      <c r="AH276" s="451">
        <v>480</v>
      </c>
      <c r="AI276" s="451">
        <v>19.55</v>
      </c>
      <c r="AJ276" s="451"/>
      <c r="AK276" s="451"/>
      <c r="AL276" s="15"/>
      <c r="AP276" s="1"/>
      <c r="AQ276" s="1"/>
      <c r="AR276" s="1"/>
    </row>
    <row r="277" spans="1:44" s="365" customFormat="1" ht="75" hidden="1">
      <c r="A277" s="8">
        <f t="shared" si="227"/>
        <v>26</v>
      </c>
      <c r="B277" s="328" t="s">
        <v>543</v>
      </c>
      <c r="C277" s="8" t="s">
        <v>502</v>
      </c>
      <c r="D277" s="8"/>
      <c r="E277" s="8" t="s">
        <v>510</v>
      </c>
      <c r="F277" s="8" t="s">
        <v>55</v>
      </c>
      <c r="G277" s="505">
        <f t="shared" si="228"/>
        <v>105.25</v>
      </c>
      <c r="H277" s="505">
        <v>100.25</v>
      </c>
      <c r="I277" s="505">
        <v>5</v>
      </c>
      <c r="J277" s="451">
        <v>0</v>
      </c>
      <c r="K277" s="484"/>
      <c r="L277" s="451"/>
      <c r="M277" s="451"/>
      <c r="N277" s="483">
        <f>+O277+P277</f>
        <v>519.19000000000005</v>
      </c>
      <c r="O277" s="451">
        <f>+R277-H277</f>
        <v>499.75</v>
      </c>
      <c r="P277" s="451">
        <f>+S277-I277</f>
        <v>19.440000000000001</v>
      </c>
      <c r="Q277" s="451">
        <f>+R277+S277</f>
        <v>624.44000000000005</v>
      </c>
      <c r="R277" s="451">
        <v>600</v>
      </c>
      <c r="S277" s="451">
        <v>24.44</v>
      </c>
      <c r="T277" s="451"/>
      <c r="U277" s="511">
        <f t="shared" si="224"/>
        <v>0</v>
      </c>
      <c r="V277" s="511">
        <f t="shared" si="225"/>
        <v>0</v>
      </c>
      <c r="W277" s="511">
        <f t="shared" si="225"/>
        <v>0</v>
      </c>
      <c r="X277" s="445">
        <f t="shared" si="229"/>
        <v>0</v>
      </c>
      <c r="Y277" s="451"/>
      <c r="Z277" s="451"/>
      <c r="AA277" s="451"/>
      <c r="AB277" s="451"/>
      <c r="AC277" s="451"/>
      <c r="AD277" s="451"/>
      <c r="AE277" s="451"/>
      <c r="AF277" s="451"/>
      <c r="AG277" s="451">
        <f>+AH277+AI277</f>
        <v>624.44000000000005</v>
      </c>
      <c r="AH277" s="451">
        <v>600</v>
      </c>
      <c r="AI277" s="451">
        <v>24.44</v>
      </c>
      <c r="AJ277" s="451"/>
      <c r="AK277" s="451"/>
      <c r="AL277" s="15"/>
      <c r="AP277" s="1"/>
      <c r="AQ277" s="1"/>
      <c r="AR277" s="1"/>
    </row>
    <row r="278" spans="1:44" s="365" customFormat="1" ht="30" hidden="1">
      <c r="A278" s="8">
        <f t="shared" si="227"/>
        <v>27</v>
      </c>
      <c r="B278" s="512" t="s">
        <v>520</v>
      </c>
      <c r="C278" s="8" t="s">
        <v>502</v>
      </c>
      <c r="D278" s="8"/>
      <c r="E278" s="8" t="s">
        <v>521</v>
      </c>
      <c r="F278" s="8" t="s">
        <v>53</v>
      </c>
      <c r="G278" s="445">
        <f t="shared" si="228"/>
        <v>210</v>
      </c>
      <c r="H278" s="445">
        <v>200</v>
      </c>
      <c r="I278" s="445">
        <v>10</v>
      </c>
      <c r="J278" s="451">
        <v>0</v>
      </c>
      <c r="K278" s="445">
        <f t="shared" ref="K278:K283" si="235">L278+M278</f>
        <v>210</v>
      </c>
      <c r="L278" s="445">
        <v>200</v>
      </c>
      <c r="M278" s="445">
        <v>10</v>
      </c>
      <c r="N278" s="483"/>
      <c r="O278" s="451"/>
      <c r="P278" s="451"/>
      <c r="Q278" s="466"/>
      <c r="R278" s="451"/>
      <c r="S278" s="451"/>
      <c r="T278" s="19" t="s">
        <v>1174</v>
      </c>
      <c r="U278" s="511">
        <f t="shared" si="224"/>
        <v>0</v>
      </c>
      <c r="V278" s="511">
        <f t="shared" ref="V278:W283" si="236">+Y278+AB278+AE278</f>
        <v>0</v>
      </c>
      <c r="W278" s="511">
        <f t="shared" si="236"/>
        <v>0</v>
      </c>
      <c r="X278" s="445">
        <f t="shared" si="229"/>
        <v>0</v>
      </c>
      <c r="Y278" s="451"/>
      <c r="Z278" s="451"/>
      <c r="AA278" s="451"/>
      <c r="AB278" s="451"/>
      <c r="AC278" s="451"/>
      <c r="AD278" s="451"/>
      <c r="AE278" s="451"/>
      <c r="AF278" s="451"/>
      <c r="AG278" s="451"/>
      <c r="AH278" s="451"/>
      <c r="AI278" s="451"/>
      <c r="AJ278" s="451"/>
      <c r="AK278" s="451"/>
      <c r="AL278" s="15"/>
      <c r="AP278" s="1"/>
      <c r="AQ278" s="1"/>
      <c r="AR278" s="1"/>
    </row>
    <row r="279" spans="1:44" s="365" customFormat="1" ht="30" hidden="1">
      <c r="A279" s="8">
        <f t="shared" si="227"/>
        <v>28</v>
      </c>
      <c r="B279" s="512" t="s">
        <v>522</v>
      </c>
      <c r="C279" s="8" t="s">
        <v>515</v>
      </c>
      <c r="D279" s="8"/>
      <c r="E279" s="8" t="s">
        <v>523</v>
      </c>
      <c r="F279" s="8" t="s">
        <v>53</v>
      </c>
      <c r="G279" s="505">
        <f t="shared" si="228"/>
        <v>52.5</v>
      </c>
      <c r="H279" s="505">
        <v>50</v>
      </c>
      <c r="I279" s="505">
        <v>2.5</v>
      </c>
      <c r="J279" s="451">
        <v>0</v>
      </c>
      <c r="K279" s="505">
        <f t="shared" si="235"/>
        <v>52.5</v>
      </c>
      <c r="L279" s="505">
        <v>50</v>
      </c>
      <c r="M279" s="505">
        <v>2.5</v>
      </c>
      <c r="N279" s="483"/>
      <c r="O279" s="451"/>
      <c r="P279" s="451"/>
      <c r="Q279" s="466"/>
      <c r="R279" s="451"/>
      <c r="S279" s="451"/>
      <c r="T279" s="19" t="s">
        <v>1174</v>
      </c>
      <c r="U279" s="511">
        <f t="shared" si="224"/>
        <v>0</v>
      </c>
      <c r="V279" s="511">
        <f t="shared" si="236"/>
        <v>0</v>
      </c>
      <c r="W279" s="511">
        <f t="shared" si="236"/>
        <v>0</v>
      </c>
      <c r="X279" s="445">
        <f t="shared" si="229"/>
        <v>0</v>
      </c>
      <c r="Y279" s="451"/>
      <c r="Z279" s="451"/>
      <c r="AA279" s="451"/>
      <c r="AB279" s="451"/>
      <c r="AC279" s="451"/>
      <c r="AD279" s="451"/>
      <c r="AE279" s="451"/>
      <c r="AF279" s="451"/>
      <c r="AG279" s="451"/>
      <c r="AH279" s="451"/>
      <c r="AI279" s="451"/>
      <c r="AJ279" s="451"/>
      <c r="AK279" s="451"/>
      <c r="AL279" s="15"/>
      <c r="AP279" s="1"/>
      <c r="AQ279" s="1"/>
      <c r="AR279" s="1"/>
    </row>
    <row r="280" spans="1:44" s="365" customFormat="1" ht="60" hidden="1">
      <c r="A280" s="8">
        <f t="shared" si="227"/>
        <v>29</v>
      </c>
      <c r="B280" s="512" t="s">
        <v>534</v>
      </c>
      <c r="C280" s="8" t="s">
        <v>509</v>
      </c>
      <c r="D280" s="8"/>
      <c r="E280" s="22" t="s">
        <v>535</v>
      </c>
      <c r="F280" s="8" t="s">
        <v>54</v>
      </c>
      <c r="G280" s="505">
        <f t="shared" si="228"/>
        <v>420</v>
      </c>
      <c r="H280" s="505">
        <v>400</v>
      </c>
      <c r="I280" s="505">
        <v>20</v>
      </c>
      <c r="J280" s="451">
        <v>0</v>
      </c>
      <c r="K280" s="505">
        <f t="shared" si="235"/>
        <v>420</v>
      </c>
      <c r="L280" s="505">
        <v>400</v>
      </c>
      <c r="M280" s="505">
        <v>20</v>
      </c>
      <c r="N280" s="483"/>
      <c r="O280" s="451"/>
      <c r="P280" s="451"/>
      <c r="Q280" s="466"/>
      <c r="R280" s="451"/>
      <c r="S280" s="451"/>
      <c r="T280" s="19" t="s">
        <v>1174</v>
      </c>
      <c r="U280" s="511">
        <f t="shared" si="224"/>
        <v>0</v>
      </c>
      <c r="V280" s="511">
        <f t="shared" si="236"/>
        <v>0</v>
      </c>
      <c r="W280" s="511">
        <f t="shared" si="236"/>
        <v>0</v>
      </c>
      <c r="X280" s="445">
        <f t="shared" si="229"/>
        <v>0</v>
      </c>
      <c r="Y280" s="451"/>
      <c r="Z280" s="451"/>
      <c r="AA280" s="451"/>
      <c r="AB280" s="451"/>
      <c r="AC280" s="451"/>
      <c r="AD280" s="451"/>
      <c r="AE280" s="451"/>
      <c r="AF280" s="451"/>
      <c r="AG280" s="451"/>
      <c r="AH280" s="451"/>
      <c r="AI280" s="451"/>
      <c r="AJ280" s="451"/>
      <c r="AK280" s="451"/>
      <c r="AL280" s="15"/>
      <c r="AP280" s="1"/>
      <c r="AQ280" s="1"/>
      <c r="AR280" s="1"/>
    </row>
    <row r="281" spans="1:44" s="365" customFormat="1" ht="30" hidden="1">
      <c r="A281" s="8">
        <f t="shared" si="227"/>
        <v>30</v>
      </c>
      <c r="B281" s="512" t="s">
        <v>538</v>
      </c>
      <c r="C281" s="8" t="s">
        <v>506</v>
      </c>
      <c r="D281" s="8"/>
      <c r="E281" s="8" t="s">
        <v>539</v>
      </c>
      <c r="F281" s="8" t="s">
        <v>54</v>
      </c>
      <c r="G281" s="445">
        <f t="shared" si="228"/>
        <v>210</v>
      </c>
      <c r="H281" s="445">
        <v>200</v>
      </c>
      <c r="I281" s="445">
        <v>10</v>
      </c>
      <c r="J281" s="451">
        <v>0</v>
      </c>
      <c r="K281" s="445">
        <f t="shared" si="235"/>
        <v>210</v>
      </c>
      <c r="L281" s="445">
        <v>200</v>
      </c>
      <c r="M281" s="445">
        <v>10</v>
      </c>
      <c r="N281" s="483"/>
      <c r="O281" s="451"/>
      <c r="P281" s="451"/>
      <c r="Q281" s="466"/>
      <c r="R281" s="451"/>
      <c r="S281" s="451"/>
      <c r="T281" s="19" t="s">
        <v>1174</v>
      </c>
      <c r="U281" s="511">
        <f t="shared" si="224"/>
        <v>0</v>
      </c>
      <c r="V281" s="511">
        <f t="shared" si="236"/>
        <v>0</v>
      </c>
      <c r="W281" s="511">
        <f t="shared" si="236"/>
        <v>0</v>
      </c>
      <c r="X281" s="445">
        <f t="shared" si="229"/>
        <v>0</v>
      </c>
      <c r="Y281" s="451"/>
      <c r="Z281" s="451"/>
      <c r="AA281" s="451"/>
      <c r="AB281" s="451"/>
      <c r="AC281" s="451"/>
      <c r="AD281" s="451"/>
      <c r="AE281" s="451"/>
      <c r="AF281" s="451"/>
      <c r="AG281" s="451"/>
      <c r="AH281" s="451"/>
      <c r="AI281" s="451"/>
      <c r="AJ281" s="451"/>
      <c r="AK281" s="451"/>
      <c r="AL281" s="15"/>
      <c r="AP281" s="1"/>
      <c r="AQ281" s="1"/>
      <c r="AR281" s="1"/>
    </row>
    <row r="282" spans="1:44" s="365" customFormat="1" ht="30" hidden="1">
      <c r="A282" s="8">
        <f t="shared" si="227"/>
        <v>31</v>
      </c>
      <c r="B282" s="512" t="s">
        <v>540</v>
      </c>
      <c r="C282" s="8" t="s">
        <v>529</v>
      </c>
      <c r="D282" s="8"/>
      <c r="E282" s="8" t="s">
        <v>811</v>
      </c>
      <c r="F282" s="8" t="s">
        <v>55</v>
      </c>
      <c r="G282" s="505">
        <f t="shared" si="228"/>
        <v>430.5</v>
      </c>
      <c r="H282" s="505">
        <v>410</v>
      </c>
      <c r="I282" s="505">
        <v>20.5</v>
      </c>
      <c r="J282" s="451">
        <v>0</v>
      </c>
      <c r="K282" s="505">
        <f t="shared" si="235"/>
        <v>430.5</v>
      </c>
      <c r="L282" s="505">
        <v>410</v>
      </c>
      <c r="M282" s="505">
        <v>20.5</v>
      </c>
      <c r="N282" s="483"/>
      <c r="O282" s="451"/>
      <c r="P282" s="451"/>
      <c r="Q282" s="466"/>
      <c r="R282" s="451"/>
      <c r="S282" s="451"/>
      <c r="T282" s="19" t="s">
        <v>1174</v>
      </c>
      <c r="U282" s="511">
        <f t="shared" si="224"/>
        <v>0</v>
      </c>
      <c r="V282" s="511">
        <f t="shared" si="236"/>
        <v>0</v>
      </c>
      <c r="W282" s="511">
        <f t="shared" si="236"/>
        <v>0</v>
      </c>
      <c r="X282" s="445">
        <f t="shared" si="229"/>
        <v>0</v>
      </c>
      <c r="Y282" s="451"/>
      <c r="Z282" s="451"/>
      <c r="AA282" s="451"/>
      <c r="AB282" s="451"/>
      <c r="AC282" s="451"/>
      <c r="AD282" s="451"/>
      <c r="AE282" s="451"/>
      <c r="AF282" s="451"/>
      <c r="AG282" s="451"/>
      <c r="AH282" s="451"/>
      <c r="AI282" s="451"/>
      <c r="AJ282" s="451"/>
      <c r="AK282" s="451"/>
      <c r="AL282" s="15"/>
      <c r="AP282" s="1"/>
      <c r="AQ282" s="1"/>
      <c r="AR282" s="1"/>
    </row>
    <row r="283" spans="1:44" ht="75" hidden="1">
      <c r="A283" s="8">
        <f t="shared" si="227"/>
        <v>32</v>
      </c>
      <c r="B283" s="512" t="s">
        <v>542</v>
      </c>
      <c r="C283" s="8" t="s">
        <v>502</v>
      </c>
      <c r="D283" s="8"/>
      <c r="E283" s="8" t="s">
        <v>510</v>
      </c>
      <c r="F283" s="8" t="s">
        <v>55</v>
      </c>
      <c r="G283" s="505">
        <f t="shared" si="228"/>
        <v>336</v>
      </c>
      <c r="H283" s="505">
        <v>320</v>
      </c>
      <c r="I283" s="505">
        <v>16</v>
      </c>
      <c r="J283" s="451">
        <v>0</v>
      </c>
      <c r="K283" s="505">
        <f t="shared" si="235"/>
        <v>336</v>
      </c>
      <c r="L283" s="505">
        <v>320</v>
      </c>
      <c r="M283" s="505">
        <v>16</v>
      </c>
      <c r="N283" s="483"/>
      <c r="O283" s="451"/>
      <c r="P283" s="451"/>
      <c r="Q283" s="466"/>
      <c r="R283" s="451"/>
      <c r="S283" s="451"/>
      <c r="T283" s="19" t="s">
        <v>1174</v>
      </c>
      <c r="U283" s="511">
        <f t="shared" si="224"/>
        <v>0</v>
      </c>
      <c r="V283" s="511">
        <f t="shared" si="236"/>
        <v>0</v>
      </c>
      <c r="W283" s="511">
        <f t="shared" si="236"/>
        <v>0</v>
      </c>
      <c r="X283" s="445">
        <f t="shared" si="229"/>
        <v>0</v>
      </c>
      <c r="Y283" s="451"/>
      <c r="Z283" s="451"/>
      <c r="AA283" s="451"/>
      <c r="AB283" s="451"/>
      <c r="AC283" s="451"/>
      <c r="AD283" s="451"/>
      <c r="AE283" s="451"/>
      <c r="AF283" s="451"/>
      <c r="AG283" s="451"/>
      <c r="AH283" s="451"/>
      <c r="AI283" s="451"/>
      <c r="AJ283" s="451"/>
      <c r="AK283" s="451"/>
      <c r="AL283" s="15"/>
    </row>
    <row r="284" spans="1:44" s="365" customFormat="1" ht="128.25">
      <c r="A284" s="266" t="s">
        <v>39</v>
      </c>
      <c r="B284" s="236" t="s">
        <v>1006</v>
      </c>
      <c r="C284" s="257"/>
      <c r="D284" s="257"/>
      <c r="E284" s="257"/>
      <c r="F284" s="275"/>
      <c r="G284" s="323">
        <f>+G290</f>
        <v>7364</v>
      </c>
      <c r="H284" s="323">
        <f t="shared" ref="H284:AK284" si="237">+H290</f>
        <v>7014</v>
      </c>
      <c r="I284" s="323">
        <f t="shared" si="237"/>
        <v>350</v>
      </c>
      <c r="J284" s="323">
        <f t="shared" si="237"/>
        <v>0</v>
      </c>
      <c r="K284" s="479"/>
      <c r="L284" s="323"/>
      <c r="M284" s="323"/>
      <c r="N284" s="479"/>
      <c r="O284" s="323"/>
      <c r="P284" s="323"/>
      <c r="Q284" s="539"/>
      <c r="R284" s="323"/>
      <c r="S284" s="323"/>
      <c r="T284" s="323"/>
      <c r="U284" s="323"/>
      <c r="V284" s="323"/>
      <c r="W284" s="323"/>
      <c r="X284" s="323">
        <f t="shared" si="237"/>
        <v>1000</v>
      </c>
      <c r="Y284" s="323">
        <f t="shared" si="237"/>
        <v>952</v>
      </c>
      <c r="Z284" s="323">
        <f t="shared" si="237"/>
        <v>48</v>
      </c>
      <c r="AA284" s="323"/>
      <c r="AB284" s="479"/>
      <c r="AC284" s="479"/>
      <c r="AD284" s="323"/>
      <c r="AE284" s="479"/>
      <c r="AF284" s="479"/>
      <c r="AG284" s="323"/>
      <c r="AH284" s="479"/>
      <c r="AI284" s="479"/>
      <c r="AJ284" s="323"/>
      <c r="AK284" s="323">
        <f t="shared" si="237"/>
        <v>0</v>
      </c>
      <c r="AL284" s="257"/>
      <c r="AP284" s="1"/>
      <c r="AQ284" s="1"/>
      <c r="AR284" s="1"/>
    </row>
    <row r="285" spans="1:44" s="365" customFormat="1" ht="90" hidden="1">
      <c r="A285" s="253">
        <v>1</v>
      </c>
      <c r="B285" s="276" t="s">
        <v>896</v>
      </c>
      <c r="C285" s="257"/>
      <c r="D285" s="257"/>
      <c r="E285" s="257"/>
      <c r="F285" s="9" t="s">
        <v>19</v>
      </c>
      <c r="G285" s="451">
        <f>H285+I285</f>
        <v>3433</v>
      </c>
      <c r="H285" s="451">
        <v>3269</v>
      </c>
      <c r="I285" s="451">
        <v>164</v>
      </c>
      <c r="J285" s="451"/>
      <c r="K285" s="483"/>
      <c r="L285" s="451"/>
      <c r="M285" s="451"/>
      <c r="N285" s="483"/>
      <c r="O285" s="451"/>
      <c r="P285" s="451"/>
      <c r="Q285" s="466"/>
      <c r="R285" s="451"/>
      <c r="S285" s="451"/>
      <c r="T285" s="451"/>
      <c r="U285" s="451"/>
      <c r="V285" s="451"/>
      <c r="W285" s="451"/>
      <c r="X285" s="451">
        <f>Y285+Z285</f>
        <v>618</v>
      </c>
      <c r="Y285" s="451">
        <v>588</v>
      </c>
      <c r="Z285" s="451">
        <v>30</v>
      </c>
      <c r="AA285" s="451"/>
      <c r="AB285" s="483"/>
      <c r="AC285" s="483"/>
      <c r="AD285" s="451"/>
      <c r="AE285" s="483"/>
      <c r="AF285" s="483"/>
      <c r="AG285" s="451"/>
      <c r="AH285" s="483"/>
      <c r="AI285" s="483"/>
      <c r="AJ285" s="451"/>
      <c r="AK285" s="451"/>
      <c r="AL285" s="257"/>
      <c r="AP285" s="1"/>
      <c r="AQ285" s="1"/>
      <c r="AR285" s="1"/>
    </row>
    <row r="286" spans="1:44" s="365" customFormat="1" ht="90" hidden="1">
      <c r="A286" s="253">
        <v>2</v>
      </c>
      <c r="B286" s="276" t="s">
        <v>897</v>
      </c>
      <c r="C286" s="257"/>
      <c r="D286" s="257"/>
      <c r="E286" s="257"/>
      <c r="F286" s="9" t="s">
        <v>19</v>
      </c>
      <c r="G286" s="451">
        <f t="shared" ref="G286:G290" si="238">H286+I286</f>
        <v>3474</v>
      </c>
      <c r="H286" s="451">
        <v>3309</v>
      </c>
      <c r="I286" s="451">
        <v>165</v>
      </c>
      <c r="J286" s="451"/>
      <c r="K286" s="483"/>
      <c r="L286" s="451"/>
      <c r="M286" s="451"/>
      <c r="N286" s="483"/>
      <c r="O286" s="451"/>
      <c r="P286" s="451"/>
      <c r="Q286" s="466"/>
      <c r="R286" s="451"/>
      <c r="S286" s="451"/>
      <c r="T286" s="451"/>
      <c r="U286" s="451"/>
      <c r="V286" s="451"/>
      <c r="W286" s="451"/>
      <c r="X286" s="451">
        <f t="shared" ref="X286:X290" si="239">Y286+Z286</f>
        <v>626</v>
      </c>
      <c r="Y286" s="451">
        <v>596</v>
      </c>
      <c r="Z286" s="451">
        <v>30</v>
      </c>
      <c r="AA286" s="451"/>
      <c r="AB286" s="483"/>
      <c r="AC286" s="483"/>
      <c r="AD286" s="451"/>
      <c r="AE286" s="483"/>
      <c r="AF286" s="483"/>
      <c r="AG286" s="451"/>
      <c r="AH286" s="483"/>
      <c r="AI286" s="483"/>
      <c r="AJ286" s="451"/>
      <c r="AK286" s="451"/>
      <c r="AL286" s="257"/>
      <c r="AP286" s="1"/>
      <c r="AQ286" s="1"/>
      <c r="AR286" s="1"/>
    </row>
    <row r="287" spans="1:44" s="365" customFormat="1" ht="90" hidden="1">
      <c r="A287" s="253">
        <v>3</v>
      </c>
      <c r="B287" s="276" t="s">
        <v>898</v>
      </c>
      <c r="C287" s="257"/>
      <c r="D287" s="257"/>
      <c r="E287" s="257"/>
      <c r="F287" s="9" t="s">
        <v>19</v>
      </c>
      <c r="G287" s="451">
        <f t="shared" si="238"/>
        <v>3798</v>
      </c>
      <c r="H287" s="451">
        <v>3617</v>
      </c>
      <c r="I287" s="451">
        <v>181</v>
      </c>
      <c r="J287" s="451"/>
      <c r="K287" s="483"/>
      <c r="L287" s="451"/>
      <c r="M287" s="451"/>
      <c r="N287" s="483"/>
      <c r="O287" s="451"/>
      <c r="P287" s="451"/>
      <c r="Q287" s="466"/>
      <c r="R287" s="451"/>
      <c r="S287" s="451"/>
      <c r="T287" s="451"/>
      <c r="U287" s="451"/>
      <c r="V287" s="451"/>
      <c r="W287" s="451"/>
      <c r="X287" s="451">
        <f t="shared" si="239"/>
        <v>684</v>
      </c>
      <c r="Y287" s="451">
        <v>651</v>
      </c>
      <c r="Z287" s="451">
        <v>33</v>
      </c>
      <c r="AA287" s="451"/>
      <c r="AB287" s="483"/>
      <c r="AC287" s="483"/>
      <c r="AD287" s="451"/>
      <c r="AE287" s="483"/>
      <c r="AF287" s="483"/>
      <c r="AG287" s="451"/>
      <c r="AH287" s="483"/>
      <c r="AI287" s="483"/>
      <c r="AJ287" s="451"/>
      <c r="AK287" s="451"/>
      <c r="AL287" s="257"/>
      <c r="AP287" s="1"/>
      <c r="AQ287" s="1"/>
      <c r="AR287" s="1"/>
    </row>
    <row r="288" spans="1:44" s="365" customFormat="1" ht="90" hidden="1">
      <c r="A288" s="253">
        <v>4</v>
      </c>
      <c r="B288" s="276" t="s">
        <v>899</v>
      </c>
      <c r="C288" s="257"/>
      <c r="D288" s="257"/>
      <c r="E288" s="257"/>
      <c r="F288" s="9" t="s">
        <v>19</v>
      </c>
      <c r="G288" s="451">
        <f t="shared" si="238"/>
        <v>3440</v>
      </c>
      <c r="H288" s="451">
        <v>3276</v>
      </c>
      <c r="I288" s="451">
        <v>164</v>
      </c>
      <c r="J288" s="451"/>
      <c r="K288" s="483"/>
      <c r="L288" s="451"/>
      <c r="M288" s="451"/>
      <c r="N288" s="483"/>
      <c r="O288" s="451"/>
      <c r="P288" s="451"/>
      <c r="Q288" s="466"/>
      <c r="R288" s="451"/>
      <c r="S288" s="451"/>
      <c r="T288" s="451"/>
      <c r="U288" s="451"/>
      <c r="V288" s="451"/>
      <c r="W288" s="451"/>
      <c r="X288" s="451">
        <f t="shared" si="239"/>
        <v>619</v>
      </c>
      <c r="Y288" s="451">
        <v>590</v>
      </c>
      <c r="Z288" s="451">
        <v>29</v>
      </c>
      <c r="AA288" s="451"/>
      <c r="AB288" s="483"/>
      <c r="AC288" s="483"/>
      <c r="AD288" s="451"/>
      <c r="AE288" s="483"/>
      <c r="AF288" s="483"/>
      <c r="AG288" s="451"/>
      <c r="AH288" s="483"/>
      <c r="AI288" s="483"/>
      <c r="AJ288" s="451"/>
      <c r="AK288" s="451"/>
      <c r="AL288" s="257"/>
      <c r="AP288" s="1"/>
      <c r="AQ288" s="1"/>
      <c r="AR288" s="1"/>
    </row>
    <row r="289" spans="1:44" s="365" customFormat="1" ht="90">
      <c r="A289" s="249" t="s">
        <v>1004</v>
      </c>
      <c r="B289" s="551" t="s">
        <v>1005</v>
      </c>
      <c r="C289" s="273"/>
      <c r="D289" s="273"/>
      <c r="E289" s="273"/>
      <c r="F289" s="415"/>
      <c r="G289" s="453">
        <f>+G290+G291</f>
        <v>7364</v>
      </c>
      <c r="H289" s="453">
        <f t="shared" ref="H289:T289" si="240">+H290+H291</f>
        <v>7014</v>
      </c>
      <c r="I289" s="453">
        <f t="shared" si="240"/>
        <v>350</v>
      </c>
      <c r="J289" s="453">
        <f t="shared" si="240"/>
        <v>0</v>
      </c>
      <c r="K289" s="453">
        <f t="shared" si="240"/>
        <v>5508.2415000000001</v>
      </c>
      <c r="L289" s="453">
        <f t="shared" si="240"/>
        <v>5250.2415000000001</v>
      </c>
      <c r="M289" s="453">
        <f t="shared" si="240"/>
        <v>258</v>
      </c>
      <c r="N289" s="453">
        <f t="shared" si="240"/>
        <v>6809.2415000000001</v>
      </c>
      <c r="O289" s="453">
        <f t="shared" si="240"/>
        <v>6488.2415000000001</v>
      </c>
      <c r="P289" s="453">
        <f t="shared" si="240"/>
        <v>321</v>
      </c>
      <c r="Q289" s="453">
        <f t="shared" si="240"/>
        <v>8665</v>
      </c>
      <c r="R289" s="453">
        <f t="shared" si="240"/>
        <v>8252</v>
      </c>
      <c r="S289" s="453">
        <f t="shared" si="240"/>
        <v>413</v>
      </c>
      <c r="T289" s="453">
        <f t="shared" si="240"/>
        <v>0</v>
      </c>
      <c r="U289" s="453"/>
      <c r="V289" s="453"/>
      <c r="W289" s="453"/>
      <c r="X289" s="453">
        <f t="shared" ref="X289:AK289" si="241">+X290</f>
        <v>1000</v>
      </c>
      <c r="Y289" s="453">
        <f t="shared" si="241"/>
        <v>952</v>
      </c>
      <c r="Z289" s="453">
        <f t="shared" si="241"/>
        <v>48</v>
      </c>
      <c r="AA289" s="453"/>
      <c r="AB289" s="486"/>
      <c r="AC289" s="486"/>
      <c r="AD289" s="453"/>
      <c r="AE289" s="486"/>
      <c r="AF289" s="486"/>
      <c r="AG289" s="453"/>
      <c r="AH289" s="486"/>
      <c r="AI289" s="486"/>
      <c r="AJ289" s="453"/>
      <c r="AK289" s="453">
        <f t="shared" si="241"/>
        <v>0</v>
      </c>
      <c r="AL289" s="257"/>
      <c r="AP289" s="1"/>
      <c r="AQ289" s="1"/>
      <c r="AR289" s="1"/>
    </row>
    <row r="290" spans="1:44" s="365" customFormat="1" ht="90">
      <c r="A290" s="253" t="s">
        <v>891</v>
      </c>
      <c r="B290" s="241" t="s">
        <v>900</v>
      </c>
      <c r="C290" s="257"/>
      <c r="D290" s="257"/>
      <c r="E290" s="257"/>
      <c r="F290" s="9" t="s">
        <v>19</v>
      </c>
      <c r="G290" s="255">
        <f t="shared" si="238"/>
        <v>7364</v>
      </c>
      <c r="H290" s="255">
        <v>7014</v>
      </c>
      <c r="I290" s="255">
        <v>350</v>
      </c>
      <c r="J290" s="255"/>
      <c r="K290" s="489">
        <f>+L290+M290</f>
        <v>5508.2415000000001</v>
      </c>
      <c r="L290" s="554">
        <f>+H290-R290</f>
        <v>5250.2415000000001</v>
      </c>
      <c r="M290" s="554">
        <f>+I290-S290</f>
        <v>258</v>
      </c>
      <c r="N290" s="489"/>
      <c r="O290" s="255"/>
      <c r="P290" s="255"/>
      <c r="Q290" s="542">
        <f>+R290+S290</f>
        <v>1855.7584999999999</v>
      </c>
      <c r="R290" s="255">
        <f>952+811.7585</f>
        <v>1763.7584999999999</v>
      </c>
      <c r="S290" s="255">
        <f>44+48</f>
        <v>92</v>
      </c>
      <c r="T290" s="255"/>
      <c r="U290" s="255"/>
      <c r="V290" s="255"/>
      <c r="W290" s="255"/>
      <c r="X290" s="255">
        <f t="shared" si="239"/>
        <v>1000</v>
      </c>
      <c r="Y290" s="255">
        <v>952</v>
      </c>
      <c r="Z290" s="255">
        <v>48</v>
      </c>
      <c r="AA290" s="255"/>
      <c r="AB290" s="489"/>
      <c r="AC290" s="489"/>
      <c r="AD290" s="255"/>
      <c r="AE290" s="489"/>
      <c r="AF290" s="489"/>
      <c r="AG290" s="255"/>
      <c r="AH290" s="489"/>
      <c r="AI290" s="489"/>
      <c r="AJ290" s="255"/>
      <c r="AK290" s="255"/>
      <c r="AL290" s="257"/>
      <c r="AP290" s="1"/>
      <c r="AQ290" s="1"/>
      <c r="AR290" s="1"/>
    </row>
    <row r="291" spans="1:44">
      <c r="A291" s="253" t="s">
        <v>891</v>
      </c>
      <c r="B291" s="545" t="s">
        <v>1175</v>
      </c>
      <c r="C291" s="257"/>
      <c r="D291" s="257"/>
      <c r="E291" s="257"/>
      <c r="F291" s="275" t="s">
        <v>51</v>
      </c>
      <c r="G291" s="493"/>
      <c r="H291" s="552"/>
      <c r="I291" s="553"/>
      <c r="J291" s="493"/>
      <c r="K291" s="494"/>
      <c r="L291" s="493"/>
      <c r="M291" s="493"/>
      <c r="N291" s="555">
        <f>+O291+P291</f>
        <v>6809.2415000000001</v>
      </c>
      <c r="O291" s="255">
        <f>5250.2415+1238</f>
        <v>6488.2415000000001</v>
      </c>
      <c r="P291" s="255">
        <f>258+63</f>
        <v>321</v>
      </c>
      <c r="Q291" s="556">
        <f>+R291+S291</f>
        <v>6809.2415000000001</v>
      </c>
      <c r="R291" s="553">
        <f>+O291</f>
        <v>6488.2415000000001</v>
      </c>
      <c r="S291" s="553">
        <f>+P291</f>
        <v>321</v>
      </c>
      <c r="T291" s="493"/>
      <c r="U291" s="493"/>
      <c r="V291" s="493"/>
      <c r="W291" s="493"/>
      <c r="X291" s="493"/>
      <c r="Y291" s="493"/>
      <c r="Z291" s="493"/>
      <c r="AA291" s="493"/>
      <c r="AB291" s="494"/>
      <c r="AC291" s="494"/>
      <c r="AD291" s="493"/>
      <c r="AE291" s="494"/>
      <c r="AF291" s="494"/>
      <c r="AG291" s="493"/>
      <c r="AH291" s="494"/>
      <c r="AI291" s="494"/>
      <c r="AJ291" s="493"/>
      <c r="AK291" s="493"/>
      <c r="AL291" s="257"/>
    </row>
  </sheetData>
  <mergeCells count="22">
    <mergeCell ref="B10:C10"/>
    <mergeCell ref="AM12:AR12"/>
    <mergeCell ref="K5:M5"/>
    <mergeCell ref="N5:P5"/>
    <mergeCell ref="Q5:S5"/>
    <mergeCell ref="T5:T6"/>
    <mergeCell ref="U5:W5"/>
    <mergeCell ref="X5:Z5"/>
    <mergeCell ref="AA5:AC5"/>
    <mergeCell ref="AD5:AF5"/>
    <mergeCell ref="AG5:AI5"/>
    <mergeCell ref="AL5:AL6"/>
    <mergeCell ref="AK1:AL1"/>
    <mergeCell ref="A2:AL2"/>
    <mergeCell ref="A3:AL3"/>
    <mergeCell ref="I4:AL4"/>
    <mergeCell ref="A5:A6"/>
    <mergeCell ref="B5:B6"/>
    <mergeCell ref="C5:C6"/>
    <mergeCell ref="E5:E6"/>
    <mergeCell ref="F5:F6"/>
    <mergeCell ref="G5:J5"/>
  </mergeCells>
  <pageMargins left="0.7" right="0.7" top="0.75" bottom="0.75" header="0.3" footer="0.3"/>
  <pageSetup paperSize="9" scale="83" fitToHeight="0" orientation="landscape"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AR291"/>
  <sheetViews>
    <sheetView zoomScale="85" zoomScaleNormal="85" workbookViewId="0">
      <selection activeCell="M181" sqref="M181"/>
    </sheetView>
  </sheetViews>
  <sheetFormatPr defaultRowHeight="15"/>
  <cols>
    <col min="1" max="1" width="6.85546875" style="29" customWidth="1"/>
    <col min="2" max="2" width="27.42578125" style="30" customWidth="1"/>
    <col min="3" max="3" width="12.85546875" style="31" customWidth="1"/>
    <col min="4" max="4" width="12.85546875" style="31" hidden="1" customWidth="1"/>
    <col min="5" max="5" width="40.42578125" style="31" hidden="1" customWidth="1"/>
    <col min="6" max="6" width="9.140625" style="1" customWidth="1"/>
    <col min="7" max="7" width="12.85546875" style="32" customWidth="1"/>
    <col min="8" max="8" width="12.85546875" style="296" customWidth="1"/>
    <col min="9" max="9" width="12.85546875" style="139" customWidth="1"/>
    <col min="10" max="10" width="10.7109375" style="32" customWidth="1"/>
    <col min="11" max="11" width="10.7109375" style="491" customWidth="1"/>
    <col min="12" max="12" width="12" style="32" customWidth="1"/>
    <col min="13" max="13" width="10.7109375" style="32" customWidth="1"/>
    <col min="14" max="14" width="10.7109375" style="491" customWidth="1"/>
    <col min="15" max="16" width="10.7109375" style="32" customWidth="1"/>
    <col min="17" max="17" width="11.7109375" style="543" customWidth="1"/>
    <col min="18" max="18" width="11.7109375" style="32" customWidth="1"/>
    <col min="19" max="20" width="10.7109375" style="32" customWidth="1"/>
    <col min="21" max="21" width="12.5703125" style="32" hidden="1" customWidth="1"/>
    <col min="22" max="22" width="11.7109375" style="32" hidden="1" customWidth="1"/>
    <col min="23" max="23" width="10.7109375" style="32" hidden="1" customWidth="1"/>
    <col min="24" max="24" width="12.7109375" style="32" hidden="1" customWidth="1"/>
    <col min="25" max="25" width="10.85546875" style="32" hidden="1" customWidth="1"/>
    <col min="26" max="26" width="13.85546875" style="32" hidden="1" customWidth="1"/>
    <col min="27" max="27" width="11.28515625" style="32" hidden="1" customWidth="1"/>
    <col min="28" max="28" width="11.28515625" style="491" hidden="1" customWidth="1"/>
    <col min="29" max="29" width="14.28515625" style="491" hidden="1" customWidth="1"/>
    <col min="30" max="30" width="11.28515625" style="32" hidden="1" customWidth="1"/>
    <col min="31" max="31" width="11.28515625" style="491" hidden="1" customWidth="1"/>
    <col min="32" max="32" width="14.140625" style="491" hidden="1" customWidth="1"/>
    <col min="33" max="33" width="11.28515625" style="32" hidden="1" customWidth="1"/>
    <col min="34" max="34" width="11.28515625" style="491" hidden="1" customWidth="1"/>
    <col min="35" max="35" width="13.28515625" style="491" hidden="1" customWidth="1"/>
    <col min="36" max="36" width="11.28515625" style="32" hidden="1" customWidth="1"/>
    <col min="37" max="37" width="9.7109375" style="32" hidden="1" customWidth="1"/>
    <col min="38" max="38" width="6.140625" style="31" hidden="1" customWidth="1"/>
    <col min="39" max="41" width="13.7109375" style="365" customWidth="1"/>
    <col min="42" max="268" width="9.140625" style="1"/>
    <col min="269" max="269" width="6.85546875" style="1" customWidth="1"/>
    <col min="270" max="270" width="27.42578125" style="1" customWidth="1"/>
    <col min="271" max="271" width="12.85546875" style="1" customWidth="1"/>
    <col min="272" max="272" width="0" style="1" hidden="1" customWidth="1"/>
    <col min="273" max="273" width="40.42578125" style="1" customWidth="1"/>
    <col min="274" max="274" width="9.140625" style="1" customWidth="1"/>
    <col min="275" max="276" width="11" style="1" customWidth="1"/>
    <col min="277" max="277" width="12.28515625" style="1" customWidth="1"/>
    <col min="278" max="280" width="12.85546875" style="1" customWidth="1"/>
    <col min="281" max="281" width="10.7109375" style="1" customWidth="1"/>
    <col min="282" max="282" width="12.7109375" style="1" customWidth="1"/>
    <col min="283" max="283" width="10.85546875" style="1" customWidth="1"/>
    <col min="284" max="284" width="11.28515625" style="1" customWidth="1"/>
    <col min="285" max="285" width="9.7109375" style="1" customWidth="1"/>
    <col min="286" max="286" width="11.140625" style="1" customWidth="1"/>
    <col min="287" max="287" width="12.42578125" style="1" customWidth="1"/>
    <col min="288" max="293" width="9.7109375" style="1" customWidth="1"/>
    <col min="294" max="294" width="6.140625" style="1" customWidth="1"/>
    <col min="295" max="524" width="9.140625" style="1"/>
    <col min="525" max="525" width="6.85546875" style="1" customWidth="1"/>
    <col min="526" max="526" width="27.42578125" style="1" customWidth="1"/>
    <col min="527" max="527" width="12.85546875" style="1" customWidth="1"/>
    <col min="528" max="528" width="0" style="1" hidden="1" customWidth="1"/>
    <col min="529" max="529" width="40.42578125" style="1" customWidth="1"/>
    <col min="530" max="530" width="9.140625" style="1" customWidth="1"/>
    <col min="531" max="532" width="11" style="1" customWidth="1"/>
    <col min="533" max="533" width="12.28515625" style="1" customWidth="1"/>
    <col min="534" max="536" width="12.85546875" style="1" customWidth="1"/>
    <col min="537" max="537" width="10.7109375" style="1" customWidth="1"/>
    <col min="538" max="538" width="12.7109375" style="1" customWidth="1"/>
    <col min="539" max="539" width="10.85546875" style="1" customWidth="1"/>
    <col min="540" max="540" width="11.28515625" style="1" customWidth="1"/>
    <col min="541" max="541" width="9.7109375" style="1" customWidth="1"/>
    <col min="542" max="542" width="11.140625" style="1" customWidth="1"/>
    <col min="543" max="543" width="12.42578125" style="1" customWidth="1"/>
    <col min="544" max="549" width="9.7109375" style="1" customWidth="1"/>
    <col min="550" max="550" width="6.140625" style="1" customWidth="1"/>
    <col min="551" max="780" width="9.140625" style="1"/>
    <col min="781" max="781" width="6.85546875" style="1" customWidth="1"/>
    <col min="782" max="782" width="27.42578125" style="1" customWidth="1"/>
    <col min="783" max="783" width="12.85546875" style="1" customWidth="1"/>
    <col min="784" max="784" width="0" style="1" hidden="1" customWidth="1"/>
    <col min="785" max="785" width="40.42578125" style="1" customWidth="1"/>
    <col min="786" max="786" width="9.140625" style="1" customWidth="1"/>
    <col min="787" max="788" width="11" style="1" customWidth="1"/>
    <col min="789" max="789" width="12.28515625" style="1" customWidth="1"/>
    <col min="790" max="792" width="12.85546875" style="1" customWidth="1"/>
    <col min="793" max="793" width="10.7109375" style="1" customWidth="1"/>
    <col min="794" max="794" width="12.7109375" style="1" customWidth="1"/>
    <col min="795" max="795" width="10.85546875" style="1" customWidth="1"/>
    <col min="796" max="796" width="11.28515625" style="1" customWidth="1"/>
    <col min="797" max="797" width="9.7109375" style="1" customWidth="1"/>
    <col min="798" max="798" width="11.140625" style="1" customWidth="1"/>
    <col min="799" max="799" width="12.42578125" style="1" customWidth="1"/>
    <col min="800" max="805" width="9.7109375" style="1" customWidth="1"/>
    <col min="806" max="806" width="6.140625" style="1" customWidth="1"/>
    <col min="807" max="1036" width="9.140625" style="1"/>
    <col min="1037" max="1037" width="6.85546875" style="1" customWidth="1"/>
    <col min="1038" max="1038" width="27.42578125" style="1" customWidth="1"/>
    <col min="1039" max="1039" width="12.85546875" style="1" customWidth="1"/>
    <col min="1040" max="1040" width="0" style="1" hidden="1" customWidth="1"/>
    <col min="1041" max="1041" width="40.42578125" style="1" customWidth="1"/>
    <col min="1042" max="1042" width="9.140625" style="1" customWidth="1"/>
    <col min="1043" max="1044" width="11" style="1" customWidth="1"/>
    <col min="1045" max="1045" width="12.28515625" style="1" customWidth="1"/>
    <col min="1046" max="1048" width="12.85546875" style="1" customWidth="1"/>
    <col min="1049" max="1049" width="10.7109375" style="1" customWidth="1"/>
    <col min="1050" max="1050" width="12.7109375" style="1" customWidth="1"/>
    <col min="1051" max="1051" width="10.85546875" style="1" customWidth="1"/>
    <col min="1052" max="1052" width="11.28515625" style="1" customWidth="1"/>
    <col min="1053" max="1053" width="9.7109375" style="1" customWidth="1"/>
    <col min="1054" max="1054" width="11.140625" style="1" customWidth="1"/>
    <col min="1055" max="1055" width="12.42578125" style="1" customWidth="1"/>
    <col min="1056" max="1061" width="9.7109375" style="1" customWidth="1"/>
    <col min="1062" max="1062" width="6.140625" style="1" customWidth="1"/>
    <col min="1063" max="1292" width="9.140625" style="1"/>
    <col min="1293" max="1293" width="6.85546875" style="1" customWidth="1"/>
    <col min="1294" max="1294" width="27.42578125" style="1" customWidth="1"/>
    <col min="1295" max="1295" width="12.85546875" style="1" customWidth="1"/>
    <col min="1296" max="1296" width="0" style="1" hidden="1" customWidth="1"/>
    <col min="1297" max="1297" width="40.42578125" style="1" customWidth="1"/>
    <col min="1298" max="1298" width="9.140625" style="1" customWidth="1"/>
    <col min="1299" max="1300" width="11" style="1" customWidth="1"/>
    <col min="1301" max="1301" width="12.28515625" style="1" customWidth="1"/>
    <col min="1302" max="1304" width="12.85546875" style="1" customWidth="1"/>
    <col min="1305" max="1305" width="10.7109375" style="1" customWidth="1"/>
    <col min="1306" max="1306" width="12.7109375" style="1" customWidth="1"/>
    <col min="1307" max="1307" width="10.85546875" style="1" customWidth="1"/>
    <col min="1308" max="1308" width="11.28515625" style="1" customWidth="1"/>
    <col min="1309" max="1309" width="9.7109375" style="1" customWidth="1"/>
    <col min="1310" max="1310" width="11.140625" style="1" customWidth="1"/>
    <col min="1311" max="1311" width="12.42578125" style="1" customWidth="1"/>
    <col min="1312" max="1317" width="9.7109375" style="1" customWidth="1"/>
    <col min="1318" max="1318" width="6.140625" style="1" customWidth="1"/>
    <col min="1319" max="1548" width="9.140625" style="1"/>
    <col min="1549" max="1549" width="6.85546875" style="1" customWidth="1"/>
    <col min="1550" max="1550" width="27.42578125" style="1" customWidth="1"/>
    <col min="1551" max="1551" width="12.85546875" style="1" customWidth="1"/>
    <col min="1552" max="1552" width="0" style="1" hidden="1" customWidth="1"/>
    <col min="1553" max="1553" width="40.42578125" style="1" customWidth="1"/>
    <col min="1554" max="1554" width="9.140625" style="1" customWidth="1"/>
    <col min="1555" max="1556" width="11" style="1" customWidth="1"/>
    <col min="1557" max="1557" width="12.28515625" style="1" customWidth="1"/>
    <col min="1558" max="1560" width="12.85546875" style="1" customWidth="1"/>
    <col min="1561" max="1561" width="10.7109375" style="1" customWidth="1"/>
    <col min="1562" max="1562" width="12.7109375" style="1" customWidth="1"/>
    <col min="1563" max="1563" width="10.85546875" style="1" customWidth="1"/>
    <col min="1564" max="1564" width="11.28515625" style="1" customWidth="1"/>
    <col min="1565" max="1565" width="9.7109375" style="1" customWidth="1"/>
    <col min="1566" max="1566" width="11.140625" style="1" customWidth="1"/>
    <col min="1567" max="1567" width="12.42578125" style="1" customWidth="1"/>
    <col min="1568" max="1573" width="9.7109375" style="1" customWidth="1"/>
    <col min="1574" max="1574" width="6.140625" style="1" customWidth="1"/>
    <col min="1575" max="1804" width="9.140625" style="1"/>
    <col min="1805" max="1805" width="6.85546875" style="1" customWidth="1"/>
    <col min="1806" max="1806" width="27.42578125" style="1" customWidth="1"/>
    <col min="1807" max="1807" width="12.85546875" style="1" customWidth="1"/>
    <col min="1808" max="1808" width="0" style="1" hidden="1" customWidth="1"/>
    <col min="1809" max="1809" width="40.42578125" style="1" customWidth="1"/>
    <col min="1810" max="1810" width="9.140625" style="1" customWidth="1"/>
    <col min="1811" max="1812" width="11" style="1" customWidth="1"/>
    <col min="1813" max="1813" width="12.28515625" style="1" customWidth="1"/>
    <col min="1814" max="1816" width="12.85546875" style="1" customWidth="1"/>
    <col min="1817" max="1817" width="10.7109375" style="1" customWidth="1"/>
    <col min="1818" max="1818" width="12.7109375" style="1" customWidth="1"/>
    <col min="1819" max="1819" width="10.85546875" style="1" customWidth="1"/>
    <col min="1820" max="1820" width="11.28515625" style="1" customWidth="1"/>
    <col min="1821" max="1821" width="9.7109375" style="1" customWidth="1"/>
    <col min="1822" max="1822" width="11.140625" style="1" customWidth="1"/>
    <col min="1823" max="1823" width="12.42578125" style="1" customWidth="1"/>
    <col min="1824" max="1829" width="9.7109375" style="1" customWidth="1"/>
    <col min="1830" max="1830" width="6.140625" style="1" customWidth="1"/>
    <col min="1831" max="2060" width="9.140625" style="1"/>
    <col min="2061" max="2061" width="6.85546875" style="1" customWidth="1"/>
    <col min="2062" max="2062" width="27.42578125" style="1" customWidth="1"/>
    <col min="2063" max="2063" width="12.85546875" style="1" customWidth="1"/>
    <col min="2064" max="2064" width="0" style="1" hidden="1" customWidth="1"/>
    <col min="2065" max="2065" width="40.42578125" style="1" customWidth="1"/>
    <col min="2066" max="2066" width="9.140625" style="1" customWidth="1"/>
    <col min="2067" max="2068" width="11" style="1" customWidth="1"/>
    <col min="2069" max="2069" width="12.28515625" style="1" customWidth="1"/>
    <col min="2070" max="2072" width="12.85546875" style="1" customWidth="1"/>
    <col min="2073" max="2073" width="10.7109375" style="1" customWidth="1"/>
    <col min="2074" max="2074" width="12.7109375" style="1" customWidth="1"/>
    <col min="2075" max="2075" width="10.85546875" style="1" customWidth="1"/>
    <col min="2076" max="2076" width="11.28515625" style="1" customWidth="1"/>
    <col min="2077" max="2077" width="9.7109375" style="1" customWidth="1"/>
    <col min="2078" max="2078" width="11.140625" style="1" customWidth="1"/>
    <col min="2079" max="2079" width="12.42578125" style="1" customWidth="1"/>
    <col min="2080" max="2085" width="9.7109375" style="1" customWidth="1"/>
    <col min="2086" max="2086" width="6.140625" style="1" customWidth="1"/>
    <col min="2087" max="2316" width="9.140625" style="1"/>
    <col min="2317" max="2317" width="6.85546875" style="1" customWidth="1"/>
    <col min="2318" max="2318" width="27.42578125" style="1" customWidth="1"/>
    <col min="2319" max="2319" width="12.85546875" style="1" customWidth="1"/>
    <col min="2320" max="2320" width="0" style="1" hidden="1" customWidth="1"/>
    <col min="2321" max="2321" width="40.42578125" style="1" customWidth="1"/>
    <col min="2322" max="2322" width="9.140625" style="1" customWidth="1"/>
    <col min="2323" max="2324" width="11" style="1" customWidth="1"/>
    <col min="2325" max="2325" width="12.28515625" style="1" customWidth="1"/>
    <col min="2326" max="2328" width="12.85546875" style="1" customWidth="1"/>
    <col min="2329" max="2329" width="10.7109375" style="1" customWidth="1"/>
    <col min="2330" max="2330" width="12.7109375" style="1" customWidth="1"/>
    <col min="2331" max="2331" width="10.85546875" style="1" customWidth="1"/>
    <col min="2332" max="2332" width="11.28515625" style="1" customWidth="1"/>
    <col min="2333" max="2333" width="9.7109375" style="1" customWidth="1"/>
    <col min="2334" max="2334" width="11.140625" style="1" customWidth="1"/>
    <col min="2335" max="2335" width="12.42578125" style="1" customWidth="1"/>
    <col min="2336" max="2341" width="9.7109375" style="1" customWidth="1"/>
    <col min="2342" max="2342" width="6.140625" style="1" customWidth="1"/>
    <col min="2343" max="2572" width="9.140625" style="1"/>
    <col min="2573" max="2573" width="6.85546875" style="1" customWidth="1"/>
    <col min="2574" max="2574" width="27.42578125" style="1" customWidth="1"/>
    <col min="2575" max="2575" width="12.85546875" style="1" customWidth="1"/>
    <col min="2576" max="2576" width="0" style="1" hidden="1" customWidth="1"/>
    <col min="2577" max="2577" width="40.42578125" style="1" customWidth="1"/>
    <col min="2578" max="2578" width="9.140625" style="1" customWidth="1"/>
    <col min="2579" max="2580" width="11" style="1" customWidth="1"/>
    <col min="2581" max="2581" width="12.28515625" style="1" customWidth="1"/>
    <col min="2582" max="2584" width="12.85546875" style="1" customWidth="1"/>
    <col min="2585" max="2585" width="10.7109375" style="1" customWidth="1"/>
    <col min="2586" max="2586" width="12.7109375" style="1" customWidth="1"/>
    <col min="2587" max="2587" width="10.85546875" style="1" customWidth="1"/>
    <col min="2588" max="2588" width="11.28515625" style="1" customWidth="1"/>
    <col min="2589" max="2589" width="9.7109375" style="1" customWidth="1"/>
    <col min="2590" max="2590" width="11.140625" style="1" customWidth="1"/>
    <col min="2591" max="2591" width="12.42578125" style="1" customWidth="1"/>
    <col min="2592" max="2597" width="9.7109375" style="1" customWidth="1"/>
    <col min="2598" max="2598" width="6.140625" style="1" customWidth="1"/>
    <col min="2599" max="2828" width="9.140625" style="1"/>
    <col min="2829" max="2829" width="6.85546875" style="1" customWidth="1"/>
    <col min="2830" max="2830" width="27.42578125" style="1" customWidth="1"/>
    <col min="2831" max="2831" width="12.85546875" style="1" customWidth="1"/>
    <col min="2832" max="2832" width="0" style="1" hidden="1" customWidth="1"/>
    <col min="2833" max="2833" width="40.42578125" style="1" customWidth="1"/>
    <col min="2834" max="2834" width="9.140625" style="1" customWidth="1"/>
    <col min="2835" max="2836" width="11" style="1" customWidth="1"/>
    <col min="2837" max="2837" width="12.28515625" style="1" customWidth="1"/>
    <col min="2838" max="2840" width="12.85546875" style="1" customWidth="1"/>
    <col min="2841" max="2841" width="10.7109375" style="1" customWidth="1"/>
    <col min="2842" max="2842" width="12.7109375" style="1" customWidth="1"/>
    <col min="2843" max="2843" width="10.85546875" style="1" customWidth="1"/>
    <col min="2844" max="2844" width="11.28515625" style="1" customWidth="1"/>
    <col min="2845" max="2845" width="9.7109375" style="1" customWidth="1"/>
    <col min="2846" max="2846" width="11.140625" style="1" customWidth="1"/>
    <col min="2847" max="2847" width="12.42578125" style="1" customWidth="1"/>
    <col min="2848" max="2853" width="9.7109375" style="1" customWidth="1"/>
    <col min="2854" max="2854" width="6.140625" style="1" customWidth="1"/>
    <col min="2855" max="3084" width="9.140625" style="1"/>
    <col min="3085" max="3085" width="6.85546875" style="1" customWidth="1"/>
    <col min="3086" max="3086" width="27.42578125" style="1" customWidth="1"/>
    <col min="3087" max="3087" width="12.85546875" style="1" customWidth="1"/>
    <col min="3088" max="3088" width="0" style="1" hidden="1" customWidth="1"/>
    <col min="3089" max="3089" width="40.42578125" style="1" customWidth="1"/>
    <col min="3090" max="3090" width="9.140625" style="1" customWidth="1"/>
    <col min="3091" max="3092" width="11" style="1" customWidth="1"/>
    <col min="3093" max="3093" width="12.28515625" style="1" customWidth="1"/>
    <col min="3094" max="3096" width="12.85546875" style="1" customWidth="1"/>
    <col min="3097" max="3097" width="10.7109375" style="1" customWidth="1"/>
    <col min="3098" max="3098" width="12.7109375" style="1" customWidth="1"/>
    <col min="3099" max="3099" width="10.85546875" style="1" customWidth="1"/>
    <col min="3100" max="3100" width="11.28515625" style="1" customWidth="1"/>
    <col min="3101" max="3101" width="9.7109375" style="1" customWidth="1"/>
    <col min="3102" max="3102" width="11.140625" style="1" customWidth="1"/>
    <col min="3103" max="3103" width="12.42578125" style="1" customWidth="1"/>
    <col min="3104" max="3109" width="9.7109375" style="1" customWidth="1"/>
    <col min="3110" max="3110" width="6.140625" style="1" customWidth="1"/>
    <col min="3111" max="3340" width="9.140625" style="1"/>
    <col min="3341" max="3341" width="6.85546875" style="1" customWidth="1"/>
    <col min="3342" max="3342" width="27.42578125" style="1" customWidth="1"/>
    <col min="3343" max="3343" width="12.85546875" style="1" customWidth="1"/>
    <col min="3344" max="3344" width="0" style="1" hidden="1" customWidth="1"/>
    <col min="3345" max="3345" width="40.42578125" style="1" customWidth="1"/>
    <col min="3346" max="3346" width="9.140625" style="1" customWidth="1"/>
    <col min="3347" max="3348" width="11" style="1" customWidth="1"/>
    <col min="3349" max="3349" width="12.28515625" style="1" customWidth="1"/>
    <col min="3350" max="3352" width="12.85546875" style="1" customWidth="1"/>
    <col min="3353" max="3353" width="10.7109375" style="1" customWidth="1"/>
    <col min="3354" max="3354" width="12.7109375" style="1" customWidth="1"/>
    <col min="3355" max="3355" width="10.85546875" style="1" customWidth="1"/>
    <col min="3356" max="3356" width="11.28515625" style="1" customWidth="1"/>
    <col min="3357" max="3357" width="9.7109375" style="1" customWidth="1"/>
    <col min="3358" max="3358" width="11.140625" style="1" customWidth="1"/>
    <col min="3359" max="3359" width="12.42578125" style="1" customWidth="1"/>
    <col min="3360" max="3365" width="9.7109375" style="1" customWidth="1"/>
    <col min="3366" max="3366" width="6.140625" style="1" customWidth="1"/>
    <col min="3367" max="3596" width="9.140625" style="1"/>
    <col min="3597" max="3597" width="6.85546875" style="1" customWidth="1"/>
    <col min="3598" max="3598" width="27.42578125" style="1" customWidth="1"/>
    <col min="3599" max="3599" width="12.85546875" style="1" customWidth="1"/>
    <col min="3600" max="3600" width="0" style="1" hidden="1" customWidth="1"/>
    <col min="3601" max="3601" width="40.42578125" style="1" customWidth="1"/>
    <col min="3602" max="3602" width="9.140625" style="1" customWidth="1"/>
    <col min="3603" max="3604" width="11" style="1" customWidth="1"/>
    <col min="3605" max="3605" width="12.28515625" style="1" customWidth="1"/>
    <col min="3606" max="3608" width="12.85546875" style="1" customWidth="1"/>
    <col min="3609" max="3609" width="10.7109375" style="1" customWidth="1"/>
    <col min="3610" max="3610" width="12.7109375" style="1" customWidth="1"/>
    <col min="3611" max="3611" width="10.85546875" style="1" customWidth="1"/>
    <col min="3612" max="3612" width="11.28515625" style="1" customWidth="1"/>
    <col min="3613" max="3613" width="9.7109375" style="1" customWidth="1"/>
    <col min="3614" max="3614" width="11.140625" style="1" customWidth="1"/>
    <col min="3615" max="3615" width="12.42578125" style="1" customWidth="1"/>
    <col min="3616" max="3621" width="9.7109375" style="1" customWidth="1"/>
    <col min="3622" max="3622" width="6.140625" style="1" customWidth="1"/>
    <col min="3623" max="3852" width="9.140625" style="1"/>
    <col min="3853" max="3853" width="6.85546875" style="1" customWidth="1"/>
    <col min="3854" max="3854" width="27.42578125" style="1" customWidth="1"/>
    <col min="3855" max="3855" width="12.85546875" style="1" customWidth="1"/>
    <col min="3856" max="3856" width="0" style="1" hidden="1" customWidth="1"/>
    <col min="3857" max="3857" width="40.42578125" style="1" customWidth="1"/>
    <col min="3858" max="3858" width="9.140625" style="1" customWidth="1"/>
    <col min="3859" max="3860" width="11" style="1" customWidth="1"/>
    <col min="3861" max="3861" width="12.28515625" style="1" customWidth="1"/>
    <col min="3862" max="3864" width="12.85546875" style="1" customWidth="1"/>
    <col min="3865" max="3865" width="10.7109375" style="1" customWidth="1"/>
    <col min="3866" max="3866" width="12.7109375" style="1" customWidth="1"/>
    <col min="3867" max="3867" width="10.85546875" style="1" customWidth="1"/>
    <col min="3868" max="3868" width="11.28515625" style="1" customWidth="1"/>
    <col min="3869" max="3869" width="9.7109375" style="1" customWidth="1"/>
    <col min="3870" max="3870" width="11.140625" style="1" customWidth="1"/>
    <col min="3871" max="3871" width="12.42578125" style="1" customWidth="1"/>
    <col min="3872" max="3877" width="9.7109375" style="1" customWidth="1"/>
    <col min="3878" max="3878" width="6.140625" style="1" customWidth="1"/>
    <col min="3879" max="4108" width="9.140625" style="1"/>
    <col min="4109" max="4109" width="6.85546875" style="1" customWidth="1"/>
    <col min="4110" max="4110" width="27.42578125" style="1" customWidth="1"/>
    <col min="4111" max="4111" width="12.85546875" style="1" customWidth="1"/>
    <col min="4112" max="4112" width="0" style="1" hidden="1" customWidth="1"/>
    <col min="4113" max="4113" width="40.42578125" style="1" customWidth="1"/>
    <col min="4114" max="4114" width="9.140625" style="1" customWidth="1"/>
    <col min="4115" max="4116" width="11" style="1" customWidth="1"/>
    <col min="4117" max="4117" width="12.28515625" style="1" customWidth="1"/>
    <col min="4118" max="4120" width="12.85546875" style="1" customWidth="1"/>
    <col min="4121" max="4121" width="10.7109375" style="1" customWidth="1"/>
    <col min="4122" max="4122" width="12.7109375" style="1" customWidth="1"/>
    <col min="4123" max="4123" width="10.85546875" style="1" customWidth="1"/>
    <col min="4124" max="4124" width="11.28515625" style="1" customWidth="1"/>
    <col min="4125" max="4125" width="9.7109375" style="1" customWidth="1"/>
    <col min="4126" max="4126" width="11.140625" style="1" customWidth="1"/>
    <col min="4127" max="4127" width="12.42578125" style="1" customWidth="1"/>
    <col min="4128" max="4133" width="9.7109375" style="1" customWidth="1"/>
    <col min="4134" max="4134" width="6.140625" style="1" customWidth="1"/>
    <col min="4135" max="4364" width="9.140625" style="1"/>
    <col min="4365" max="4365" width="6.85546875" style="1" customWidth="1"/>
    <col min="4366" max="4366" width="27.42578125" style="1" customWidth="1"/>
    <col min="4367" max="4367" width="12.85546875" style="1" customWidth="1"/>
    <col min="4368" max="4368" width="0" style="1" hidden="1" customWidth="1"/>
    <col min="4369" max="4369" width="40.42578125" style="1" customWidth="1"/>
    <col min="4370" max="4370" width="9.140625" style="1" customWidth="1"/>
    <col min="4371" max="4372" width="11" style="1" customWidth="1"/>
    <col min="4373" max="4373" width="12.28515625" style="1" customWidth="1"/>
    <col min="4374" max="4376" width="12.85546875" style="1" customWidth="1"/>
    <col min="4377" max="4377" width="10.7109375" style="1" customWidth="1"/>
    <col min="4378" max="4378" width="12.7109375" style="1" customWidth="1"/>
    <col min="4379" max="4379" width="10.85546875" style="1" customWidth="1"/>
    <col min="4380" max="4380" width="11.28515625" style="1" customWidth="1"/>
    <col min="4381" max="4381" width="9.7109375" style="1" customWidth="1"/>
    <col min="4382" max="4382" width="11.140625" style="1" customWidth="1"/>
    <col min="4383" max="4383" width="12.42578125" style="1" customWidth="1"/>
    <col min="4384" max="4389" width="9.7109375" style="1" customWidth="1"/>
    <col min="4390" max="4390" width="6.140625" style="1" customWidth="1"/>
    <col min="4391" max="4620" width="9.140625" style="1"/>
    <col min="4621" max="4621" width="6.85546875" style="1" customWidth="1"/>
    <col min="4622" max="4622" width="27.42578125" style="1" customWidth="1"/>
    <col min="4623" max="4623" width="12.85546875" style="1" customWidth="1"/>
    <col min="4624" max="4624" width="0" style="1" hidden="1" customWidth="1"/>
    <col min="4625" max="4625" width="40.42578125" style="1" customWidth="1"/>
    <col min="4626" max="4626" width="9.140625" style="1" customWidth="1"/>
    <col min="4627" max="4628" width="11" style="1" customWidth="1"/>
    <col min="4629" max="4629" width="12.28515625" style="1" customWidth="1"/>
    <col min="4630" max="4632" width="12.85546875" style="1" customWidth="1"/>
    <col min="4633" max="4633" width="10.7109375" style="1" customWidth="1"/>
    <col min="4634" max="4634" width="12.7109375" style="1" customWidth="1"/>
    <col min="4635" max="4635" width="10.85546875" style="1" customWidth="1"/>
    <col min="4636" max="4636" width="11.28515625" style="1" customWidth="1"/>
    <col min="4637" max="4637" width="9.7109375" style="1" customWidth="1"/>
    <col min="4638" max="4638" width="11.140625" style="1" customWidth="1"/>
    <col min="4639" max="4639" width="12.42578125" style="1" customWidth="1"/>
    <col min="4640" max="4645" width="9.7109375" style="1" customWidth="1"/>
    <col min="4646" max="4646" width="6.140625" style="1" customWidth="1"/>
    <col min="4647" max="4876" width="9.140625" style="1"/>
    <col min="4877" max="4877" width="6.85546875" style="1" customWidth="1"/>
    <col min="4878" max="4878" width="27.42578125" style="1" customWidth="1"/>
    <col min="4879" max="4879" width="12.85546875" style="1" customWidth="1"/>
    <col min="4880" max="4880" width="0" style="1" hidden="1" customWidth="1"/>
    <col min="4881" max="4881" width="40.42578125" style="1" customWidth="1"/>
    <col min="4882" max="4882" width="9.140625" style="1" customWidth="1"/>
    <col min="4883" max="4884" width="11" style="1" customWidth="1"/>
    <col min="4885" max="4885" width="12.28515625" style="1" customWidth="1"/>
    <col min="4886" max="4888" width="12.85546875" style="1" customWidth="1"/>
    <col min="4889" max="4889" width="10.7109375" style="1" customWidth="1"/>
    <col min="4890" max="4890" width="12.7109375" style="1" customWidth="1"/>
    <col min="4891" max="4891" width="10.85546875" style="1" customWidth="1"/>
    <col min="4892" max="4892" width="11.28515625" style="1" customWidth="1"/>
    <col min="4893" max="4893" width="9.7109375" style="1" customWidth="1"/>
    <col min="4894" max="4894" width="11.140625" style="1" customWidth="1"/>
    <col min="4895" max="4895" width="12.42578125" style="1" customWidth="1"/>
    <col min="4896" max="4901" width="9.7109375" style="1" customWidth="1"/>
    <col min="4902" max="4902" width="6.140625" style="1" customWidth="1"/>
    <col min="4903" max="5132" width="9.140625" style="1"/>
    <col min="5133" max="5133" width="6.85546875" style="1" customWidth="1"/>
    <col min="5134" max="5134" width="27.42578125" style="1" customWidth="1"/>
    <col min="5135" max="5135" width="12.85546875" style="1" customWidth="1"/>
    <col min="5136" max="5136" width="0" style="1" hidden="1" customWidth="1"/>
    <col min="5137" max="5137" width="40.42578125" style="1" customWidth="1"/>
    <col min="5138" max="5138" width="9.140625" style="1" customWidth="1"/>
    <col min="5139" max="5140" width="11" style="1" customWidth="1"/>
    <col min="5141" max="5141" width="12.28515625" style="1" customWidth="1"/>
    <col min="5142" max="5144" width="12.85546875" style="1" customWidth="1"/>
    <col min="5145" max="5145" width="10.7109375" style="1" customWidth="1"/>
    <col min="5146" max="5146" width="12.7109375" style="1" customWidth="1"/>
    <col min="5147" max="5147" width="10.85546875" style="1" customWidth="1"/>
    <col min="5148" max="5148" width="11.28515625" style="1" customWidth="1"/>
    <col min="5149" max="5149" width="9.7109375" style="1" customWidth="1"/>
    <col min="5150" max="5150" width="11.140625" style="1" customWidth="1"/>
    <col min="5151" max="5151" width="12.42578125" style="1" customWidth="1"/>
    <col min="5152" max="5157" width="9.7109375" style="1" customWidth="1"/>
    <col min="5158" max="5158" width="6.140625" style="1" customWidth="1"/>
    <col min="5159" max="5388" width="9.140625" style="1"/>
    <col min="5389" max="5389" width="6.85546875" style="1" customWidth="1"/>
    <col min="5390" max="5390" width="27.42578125" style="1" customWidth="1"/>
    <col min="5391" max="5391" width="12.85546875" style="1" customWidth="1"/>
    <col min="5392" max="5392" width="0" style="1" hidden="1" customWidth="1"/>
    <col min="5393" max="5393" width="40.42578125" style="1" customWidth="1"/>
    <col min="5394" max="5394" width="9.140625" style="1" customWidth="1"/>
    <col min="5395" max="5396" width="11" style="1" customWidth="1"/>
    <col min="5397" max="5397" width="12.28515625" style="1" customWidth="1"/>
    <col min="5398" max="5400" width="12.85546875" style="1" customWidth="1"/>
    <col min="5401" max="5401" width="10.7109375" style="1" customWidth="1"/>
    <col min="5402" max="5402" width="12.7109375" style="1" customWidth="1"/>
    <col min="5403" max="5403" width="10.85546875" style="1" customWidth="1"/>
    <col min="5404" max="5404" width="11.28515625" style="1" customWidth="1"/>
    <col min="5405" max="5405" width="9.7109375" style="1" customWidth="1"/>
    <col min="5406" max="5406" width="11.140625" style="1" customWidth="1"/>
    <col min="5407" max="5407" width="12.42578125" style="1" customWidth="1"/>
    <col min="5408" max="5413" width="9.7109375" style="1" customWidth="1"/>
    <col min="5414" max="5414" width="6.140625" style="1" customWidth="1"/>
    <col min="5415" max="5644" width="9.140625" style="1"/>
    <col min="5645" max="5645" width="6.85546875" style="1" customWidth="1"/>
    <col min="5646" max="5646" width="27.42578125" style="1" customWidth="1"/>
    <col min="5647" max="5647" width="12.85546875" style="1" customWidth="1"/>
    <col min="5648" max="5648" width="0" style="1" hidden="1" customWidth="1"/>
    <col min="5649" max="5649" width="40.42578125" style="1" customWidth="1"/>
    <col min="5650" max="5650" width="9.140625" style="1" customWidth="1"/>
    <col min="5651" max="5652" width="11" style="1" customWidth="1"/>
    <col min="5653" max="5653" width="12.28515625" style="1" customWidth="1"/>
    <col min="5654" max="5656" width="12.85546875" style="1" customWidth="1"/>
    <col min="5657" max="5657" width="10.7109375" style="1" customWidth="1"/>
    <col min="5658" max="5658" width="12.7109375" style="1" customWidth="1"/>
    <col min="5659" max="5659" width="10.85546875" style="1" customWidth="1"/>
    <col min="5660" max="5660" width="11.28515625" style="1" customWidth="1"/>
    <col min="5661" max="5661" width="9.7109375" style="1" customWidth="1"/>
    <col min="5662" max="5662" width="11.140625" style="1" customWidth="1"/>
    <col min="5663" max="5663" width="12.42578125" style="1" customWidth="1"/>
    <col min="5664" max="5669" width="9.7109375" style="1" customWidth="1"/>
    <col min="5670" max="5670" width="6.140625" style="1" customWidth="1"/>
    <col min="5671" max="5900" width="9.140625" style="1"/>
    <col min="5901" max="5901" width="6.85546875" style="1" customWidth="1"/>
    <col min="5902" max="5902" width="27.42578125" style="1" customWidth="1"/>
    <col min="5903" max="5903" width="12.85546875" style="1" customWidth="1"/>
    <col min="5904" max="5904" width="0" style="1" hidden="1" customWidth="1"/>
    <col min="5905" max="5905" width="40.42578125" style="1" customWidth="1"/>
    <col min="5906" max="5906" width="9.140625" style="1" customWidth="1"/>
    <col min="5907" max="5908" width="11" style="1" customWidth="1"/>
    <col min="5909" max="5909" width="12.28515625" style="1" customWidth="1"/>
    <col min="5910" max="5912" width="12.85546875" style="1" customWidth="1"/>
    <col min="5913" max="5913" width="10.7109375" style="1" customWidth="1"/>
    <col min="5914" max="5914" width="12.7109375" style="1" customWidth="1"/>
    <col min="5915" max="5915" width="10.85546875" style="1" customWidth="1"/>
    <col min="5916" max="5916" width="11.28515625" style="1" customWidth="1"/>
    <col min="5917" max="5917" width="9.7109375" style="1" customWidth="1"/>
    <col min="5918" max="5918" width="11.140625" style="1" customWidth="1"/>
    <col min="5919" max="5919" width="12.42578125" style="1" customWidth="1"/>
    <col min="5920" max="5925" width="9.7109375" style="1" customWidth="1"/>
    <col min="5926" max="5926" width="6.140625" style="1" customWidth="1"/>
    <col min="5927" max="6156" width="9.140625" style="1"/>
    <col min="6157" max="6157" width="6.85546875" style="1" customWidth="1"/>
    <col min="6158" max="6158" width="27.42578125" style="1" customWidth="1"/>
    <col min="6159" max="6159" width="12.85546875" style="1" customWidth="1"/>
    <col min="6160" max="6160" width="0" style="1" hidden="1" customWidth="1"/>
    <col min="6161" max="6161" width="40.42578125" style="1" customWidth="1"/>
    <col min="6162" max="6162" width="9.140625" style="1" customWidth="1"/>
    <col min="6163" max="6164" width="11" style="1" customWidth="1"/>
    <col min="6165" max="6165" width="12.28515625" style="1" customWidth="1"/>
    <col min="6166" max="6168" width="12.85546875" style="1" customWidth="1"/>
    <col min="6169" max="6169" width="10.7109375" style="1" customWidth="1"/>
    <col min="6170" max="6170" width="12.7109375" style="1" customWidth="1"/>
    <col min="6171" max="6171" width="10.85546875" style="1" customWidth="1"/>
    <col min="6172" max="6172" width="11.28515625" style="1" customWidth="1"/>
    <col min="6173" max="6173" width="9.7109375" style="1" customWidth="1"/>
    <col min="6174" max="6174" width="11.140625" style="1" customWidth="1"/>
    <col min="6175" max="6175" width="12.42578125" style="1" customWidth="1"/>
    <col min="6176" max="6181" width="9.7109375" style="1" customWidth="1"/>
    <col min="6182" max="6182" width="6.140625" style="1" customWidth="1"/>
    <col min="6183" max="6412" width="9.140625" style="1"/>
    <col min="6413" max="6413" width="6.85546875" style="1" customWidth="1"/>
    <col min="6414" max="6414" width="27.42578125" style="1" customWidth="1"/>
    <col min="6415" max="6415" width="12.85546875" style="1" customWidth="1"/>
    <col min="6416" max="6416" width="0" style="1" hidden="1" customWidth="1"/>
    <col min="6417" max="6417" width="40.42578125" style="1" customWidth="1"/>
    <col min="6418" max="6418" width="9.140625" style="1" customWidth="1"/>
    <col min="6419" max="6420" width="11" style="1" customWidth="1"/>
    <col min="6421" max="6421" width="12.28515625" style="1" customWidth="1"/>
    <col min="6422" max="6424" width="12.85546875" style="1" customWidth="1"/>
    <col min="6425" max="6425" width="10.7109375" style="1" customWidth="1"/>
    <col min="6426" max="6426" width="12.7109375" style="1" customWidth="1"/>
    <col min="6427" max="6427" width="10.85546875" style="1" customWidth="1"/>
    <col min="6428" max="6428" width="11.28515625" style="1" customWidth="1"/>
    <col min="6429" max="6429" width="9.7109375" style="1" customWidth="1"/>
    <col min="6430" max="6430" width="11.140625" style="1" customWidth="1"/>
    <col min="6431" max="6431" width="12.42578125" style="1" customWidth="1"/>
    <col min="6432" max="6437" width="9.7109375" style="1" customWidth="1"/>
    <col min="6438" max="6438" width="6.140625" style="1" customWidth="1"/>
    <col min="6439" max="6668" width="9.140625" style="1"/>
    <col min="6669" max="6669" width="6.85546875" style="1" customWidth="1"/>
    <col min="6670" max="6670" width="27.42578125" style="1" customWidth="1"/>
    <col min="6671" max="6671" width="12.85546875" style="1" customWidth="1"/>
    <col min="6672" max="6672" width="0" style="1" hidden="1" customWidth="1"/>
    <col min="6673" max="6673" width="40.42578125" style="1" customWidth="1"/>
    <col min="6674" max="6674" width="9.140625" style="1" customWidth="1"/>
    <col min="6675" max="6676" width="11" style="1" customWidth="1"/>
    <col min="6677" max="6677" width="12.28515625" style="1" customWidth="1"/>
    <col min="6678" max="6680" width="12.85546875" style="1" customWidth="1"/>
    <col min="6681" max="6681" width="10.7109375" style="1" customWidth="1"/>
    <col min="6682" max="6682" width="12.7109375" style="1" customWidth="1"/>
    <col min="6683" max="6683" width="10.85546875" style="1" customWidth="1"/>
    <col min="6684" max="6684" width="11.28515625" style="1" customWidth="1"/>
    <col min="6685" max="6685" width="9.7109375" style="1" customWidth="1"/>
    <col min="6686" max="6686" width="11.140625" style="1" customWidth="1"/>
    <col min="6687" max="6687" width="12.42578125" style="1" customWidth="1"/>
    <col min="6688" max="6693" width="9.7109375" style="1" customWidth="1"/>
    <col min="6694" max="6694" width="6.140625" style="1" customWidth="1"/>
    <col min="6695" max="6924" width="9.140625" style="1"/>
    <col min="6925" max="6925" width="6.85546875" style="1" customWidth="1"/>
    <col min="6926" max="6926" width="27.42578125" style="1" customWidth="1"/>
    <col min="6927" max="6927" width="12.85546875" style="1" customWidth="1"/>
    <col min="6928" max="6928" width="0" style="1" hidden="1" customWidth="1"/>
    <col min="6929" max="6929" width="40.42578125" style="1" customWidth="1"/>
    <col min="6930" max="6930" width="9.140625" style="1" customWidth="1"/>
    <col min="6931" max="6932" width="11" style="1" customWidth="1"/>
    <col min="6933" max="6933" width="12.28515625" style="1" customWidth="1"/>
    <col min="6934" max="6936" width="12.85546875" style="1" customWidth="1"/>
    <col min="6937" max="6937" width="10.7109375" style="1" customWidth="1"/>
    <col min="6938" max="6938" width="12.7109375" style="1" customWidth="1"/>
    <col min="6939" max="6939" width="10.85546875" style="1" customWidth="1"/>
    <col min="6940" max="6940" width="11.28515625" style="1" customWidth="1"/>
    <col min="6941" max="6941" width="9.7109375" style="1" customWidth="1"/>
    <col min="6942" max="6942" width="11.140625" style="1" customWidth="1"/>
    <col min="6943" max="6943" width="12.42578125" style="1" customWidth="1"/>
    <col min="6944" max="6949" width="9.7109375" style="1" customWidth="1"/>
    <col min="6950" max="6950" width="6.140625" style="1" customWidth="1"/>
    <col min="6951" max="7180" width="9.140625" style="1"/>
    <col min="7181" max="7181" width="6.85546875" style="1" customWidth="1"/>
    <col min="7182" max="7182" width="27.42578125" style="1" customWidth="1"/>
    <col min="7183" max="7183" width="12.85546875" style="1" customWidth="1"/>
    <col min="7184" max="7184" width="0" style="1" hidden="1" customWidth="1"/>
    <col min="7185" max="7185" width="40.42578125" style="1" customWidth="1"/>
    <col min="7186" max="7186" width="9.140625" style="1" customWidth="1"/>
    <col min="7187" max="7188" width="11" style="1" customWidth="1"/>
    <col min="7189" max="7189" width="12.28515625" style="1" customWidth="1"/>
    <col min="7190" max="7192" width="12.85546875" style="1" customWidth="1"/>
    <col min="7193" max="7193" width="10.7109375" style="1" customWidth="1"/>
    <col min="7194" max="7194" width="12.7109375" style="1" customWidth="1"/>
    <col min="7195" max="7195" width="10.85546875" style="1" customWidth="1"/>
    <col min="7196" max="7196" width="11.28515625" style="1" customWidth="1"/>
    <col min="7197" max="7197" width="9.7109375" style="1" customWidth="1"/>
    <col min="7198" max="7198" width="11.140625" style="1" customWidth="1"/>
    <col min="7199" max="7199" width="12.42578125" style="1" customWidth="1"/>
    <col min="7200" max="7205" width="9.7109375" style="1" customWidth="1"/>
    <col min="7206" max="7206" width="6.140625" style="1" customWidth="1"/>
    <col min="7207" max="7436" width="9.140625" style="1"/>
    <col min="7437" max="7437" width="6.85546875" style="1" customWidth="1"/>
    <col min="7438" max="7438" width="27.42578125" style="1" customWidth="1"/>
    <col min="7439" max="7439" width="12.85546875" style="1" customWidth="1"/>
    <col min="7440" max="7440" width="0" style="1" hidden="1" customWidth="1"/>
    <col min="7441" max="7441" width="40.42578125" style="1" customWidth="1"/>
    <col min="7442" max="7442" width="9.140625" style="1" customWidth="1"/>
    <col min="7443" max="7444" width="11" style="1" customWidth="1"/>
    <col min="7445" max="7445" width="12.28515625" style="1" customWidth="1"/>
    <col min="7446" max="7448" width="12.85546875" style="1" customWidth="1"/>
    <col min="7449" max="7449" width="10.7109375" style="1" customWidth="1"/>
    <col min="7450" max="7450" width="12.7109375" style="1" customWidth="1"/>
    <col min="7451" max="7451" width="10.85546875" style="1" customWidth="1"/>
    <col min="7452" max="7452" width="11.28515625" style="1" customWidth="1"/>
    <col min="7453" max="7453" width="9.7109375" style="1" customWidth="1"/>
    <col min="7454" max="7454" width="11.140625" style="1" customWidth="1"/>
    <col min="7455" max="7455" width="12.42578125" style="1" customWidth="1"/>
    <col min="7456" max="7461" width="9.7109375" style="1" customWidth="1"/>
    <col min="7462" max="7462" width="6.140625" style="1" customWidth="1"/>
    <col min="7463" max="7692" width="9.140625" style="1"/>
    <col min="7693" max="7693" width="6.85546875" style="1" customWidth="1"/>
    <col min="7694" max="7694" width="27.42578125" style="1" customWidth="1"/>
    <col min="7695" max="7695" width="12.85546875" style="1" customWidth="1"/>
    <col min="7696" max="7696" width="0" style="1" hidden="1" customWidth="1"/>
    <col min="7697" max="7697" width="40.42578125" style="1" customWidth="1"/>
    <col min="7698" max="7698" width="9.140625" style="1" customWidth="1"/>
    <col min="7699" max="7700" width="11" style="1" customWidth="1"/>
    <col min="7701" max="7701" width="12.28515625" style="1" customWidth="1"/>
    <col min="7702" max="7704" width="12.85546875" style="1" customWidth="1"/>
    <col min="7705" max="7705" width="10.7109375" style="1" customWidth="1"/>
    <col min="7706" max="7706" width="12.7109375" style="1" customWidth="1"/>
    <col min="7707" max="7707" width="10.85546875" style="1" customWidth="1"/>
    <col min="7708" max="7708" width="11.28515625" style="1" customWidth="1"/>
    <col min="7709" max="7709" width="9.7109375" style="1" customWidth="1"/>
    <col min="7710" max="7710" width="11.140625" style="1" customWidth="1"/>
    <col min="7711" max="7711" width="12.42578125" style="1" customWidth="1"/>
    <col min="7712" max="7717" width="9.7109375" style="1" customWidth="1"/>
    <col min="7718" max="7718" width="6.140625" style="1" customWidth="1"/>
    <col min="7719" max="7948" width="9.140625" style="1"/>
    <col min="7949" max="7949" width="6.85546875" style="1" customWidth="1"/>
    <col min="7950" max="7950" width="27.42578125" style="1" customWidth="1"/>
    <col min="7951" max="7951" width="12.85546875" style="1" customWidth="1"/>
    <col min="7952" max="7952" width="0" style="1" hidden="1" customWidth="1"/>
    <col min="7953" max="7953" width="40.42578125" style="1" customWidth="1"/>
    <col min="7954" max="7954" width="9.140625" style="1" customWidth="1"/>
    <col min="7955" max="7956" width="11" style="1" customWidth="1"/>
    <col min="7957" max="7957" width="12.28515625" style="1" customWidth="1"/>
    <col min="7958" max="7960" width="12.85546875" style="1" customWidth="1"/>
    <col min="7961" max="7961" width="10.7109375" style="1" customWidth="1"/>
    <col min="7962" max="7962" width="12.7109375" style="1" customWidth="1"/>
    <col min="7963" max="7963" width="10.85546875" style="1" customWidth="1"/>
    <col min="7964" max="7964" width="11.28515625" style="1" customWidth="1"/>
    <col min="7965" max="7965" width="9.7109375" style="1" customWidth="1"/>
    <col min="7966" max="7966" width="11.140625" style="1" customWidth="1"/>
    <col min="7967" max="7967" width="12.42578125" style="1" customWidth="1"/>
    <col min="7968" max="7973" width="9.7109375" style="1" customWidth="1"/>
    <col min="7974" max="7974" width="6.140625" style="1" customWidth="1"/>
    <col min="7975" max="8204" width="9.140625" style="1"/>
    <col min="8205" max="8205" width="6.85546875" style="1" customWidth="1"/>
    <col min="8206" max="8206" width="27.42578125" style="1" customWidth="1"/>
    <col min="8207" max="8207" width="12.85546875" style="1" customWidth="1"/>
    <col min="8208" max="8208" width="0" style="1" hidden="1" customWidth="1"/>
    <col min="8209" max="8209" width="40.42578125" style="1" customWidth="1"/>
    <col min="8210" max="8210" width="9.140625" style="1" customWidth="1"/>
    <col min="8211" max="8212" width="11" style="1" customWidth="1"/>
    <col min="8213" max="8213" width="12.28515625" style="1" customWidth="1"/>
    <col min="8214" max="8216" width="12.85546875" style="1" customWidth="1"/>
    <col min="8217" max="8217" width="10.7109375" style="1" customWidth="1"/>
    <col min="8218" max="8218" width="12.7109375" style="1" customWidth="1"/>
    <col min="8219" max="8219" width="10.85546875" style="1" customWidth="1"/>
    <col min="8220" max="8220" width="11.28515625" style="1" customWidth="1"/>
    <col min="8221" max="8221" width="9.7109375" style="1" customWidth="1"/>
    <col min="8222" max="8222" width="11.140625" style="1" customWidth="1"/>
    <col min="8223" max="8223" width="12.42578125" style="1" customWidth="1"/>
    <col min="8224" max="8229" width="9.7109375" style="1" customWidth="1"/>
    <col min="8230" max="8230" width="6.140625" style="1" customWidth="1"/>
    <col min="8231" max="8460" width="9.140625" style="1"/>
    <col min="8461" max="8461" width="6.85546875" style="1" customWidth="1"/>
    <col min="8462" max="8462" width="27.42578125" style="1" customWidth="1"/>
    <col min="8463" max="8463" width="12.85546875" style="1" customWidth="1"/>
    <col min="8464" max="8464" width="0" style="1" hidden="1" customWidth="1"/>
    <col min="8465" max="8465" width="40.42578125" style="1" customWidth="1"/>
    <col min="8466" max="8466" width="9.140625" style="1" customWidth="1"/>
    <col min="8467" max="8468" width="11" style="1" customWidth="1"/>
    <col min="8469" max="8469" width="12.28515625" style="1" customWidth="1"/>
    <col min="8470" max="8472" width="12.85546875" style="1" customWidth="1"/>
    <col min="8473" max="8473" width="10.7109375" style="1" customWidth="1"/>
    <col min="8474" max="8474" width="12.7109375" style="1" customWidth="1"/>
    <col min="8475" max="8475" width="10.85546875" style="1" customWidth="1"/>
    <col min="8476" max="8476" width="11.28515625" style="1" customWidth="1"/>
    <col min="8477" max="8477" width="9.7109375" style="1" customWidth="1"/>
    <col min="8478" max="8478" width="11.140625" style="1" customWidth="1"/>
    <col min="8479" max="8479" width="12.42578125" style="1" customWidth="1"/>
    <col min="8480" max="8485" width="9.7109375" style="1" customWidth="1"/>
    <col min="8486" max="8486" width="6.140625" style="1" customWidth="1"/>
    <col min="8487" max="8716" width="9.140625" style="1"/>
    <col min="8717" max="8717" width="6.85546875" style="1" customWidth="1"/>
    <col min="8718" max="8718" width="27.42578125" style="1" customWidth="1"/>
    <col min="8719" max="8719" width="12.85546875" style="1" customWidth="1"/>
    <col min="8720" max="8720" width="0" style="1" hidden="1" customWidth="1"/>
    <col min="8721" max="8721" width="40.42578125" style="1" customWidth="1"/>
    <col min="8722" max="8722" width="9.140625" style="1" customWidth="1"/>
    <col min="8723" max="8724" width="11" style="1" customWidth="1"/>
    <col min="8725" max="8725" width="12.28515625" style="1" customWidth="1"/>
    <col min="8726" max="8728" width="12.85546875" style="1" customWidth="1"/>
    <col min="8729" max="8729" width="10.7109375" style="1" customWidth="1"/>
    <col min="8730" max="8730" width="12.7109375" style="1" customWidth="1"/>
    <col min="8731" max="8731" width="10.85546875" style="1" customWidth="1"/>
    <col min="8732" max="8732" width="11.28515625" style="1" customWidth="1"/>
    <col min="8733" max="8733" width="9.7109375" style="1" customWidth="1"/>
    <col min="8734" max="8734" width="11.140625" style="1" customWidth="1"/>
    <col min="8735" max="8735" width="12.42578125" style="1" customWidth="1"/>
    <col min="8736" max="8741" width="9.7109375" style="1" customWidth="1"/>
    <col min="8742" max="8742" width="6.140625" style="1" customWidth="1"/>
    <col min="8743" max="8972" width="9.140625" style="1"/>
    <col min="8973" max="8973" width="6.85546875" style="1" customWidth="1"/>
    <col min="8974" max="8974" width="27.42578125" style="1" customWidth="1"/>
    <col min="8975" max="8975" width="12.85546875" style="1" customWidth="1"/>
    <col min="8976" max="8976" width="0" style="1" hidden="1" customWidth="1"/>
    <col min="8977" max="8977" width="40.42578125" style="1" customWidth="1"/>
    <col min="8978" max="8978" width="9.140625" style="1" customWidth="1"/>
    <col min="8979" max="8980" width="11" style="1" customWidth="1"/>
    <col min="8981" max="8981" width="12.28515625" style="1" customWidth="1"/>
    <col min="8982" max="8984" width="12.85546875" style="1" customWidth="1"/>
    <col min="8985" max="8985" width="10.7109375" style="1" customWidth="1"/>
    <col min="8986" max="8986" width="12.7109375" style="1" customWidth="1"/>
    <col min="8987" max="8987" width="10.85546875" style="1" customWidth="1"/>
    <col min="8988" max="8988" width="11.28515625" style="1" customWidth="1"/>
    <col min="8989" max="8989" width="9.7109375" style="1" customWidth="1"/>
    <col min="8990" max="8990" width="11.140625" style="1" customWidth="1"/>
    <col min="8991" max="8991" width="12.42578125" style="1" customWidth="1"/>
    <col min="8992" max="8997" width="9.7109375" style="1" customWidth="1"/>
    <col min="8998" max="8998" width="6.140625" style="1" customWidth="1"/>
    <col min="8999" max="9228" width="9.140625" style="1"/>
    <col min="9229" max="9229" width="6.85546875" style="1" customWidth="1"/>
    <col min="9230" max="9230" width="27.42578125" style="1" customWidth="1"/>
    <col min="9231" max="9231" width="12.85546875" style="1" customWidth="1"/>
    <col min="9232" max="9232" width="0" style="1" hidden="1" customWidth="1"/>
    <col min="9233" max="9233" width="40.42578125" style="1" customWidth="1"/>
    <col min="9234" max="9234" width="9.140625" style="1" customWidth="1"/>
    <col min="9235" max="9236" width="11" style="1" customWidth="1"/>
    <col min="9237" max="9237" width="12.28515625" style="1" customWidth="1"/>
    <col min="9238" max="9240" width="12.85546875" style="1" customWidth="1"/>
    <col min="9241" max="9241" width="10.7109375" style="1" customWidth="1"/>
    <col min="9242" max="9242" width="12.7109375" style="1" customWidth="1"/>
    <col min="9243" max="9243" width="10.85546875" style="1" customWidth="1"/>
    <col min="9244" max="9244" width="11.28515625" style="1" customWidth="1"/>
    <col min="9245" max="9245" width="9.7109375" style="1" customWidth="1"/>
    <col min="9246" max="9246" width="11.140625" style="1" customWidth="1"/>
    <col min="9247" max="9247" width="12.42578125" style="1" customWidth="1"/>
    <col min="9248" max="9253" width="9.7109375" style="1" customWidth="1"/>
    <col min="9254" max="9254" width="6.140625" style="1" customWidth="1"/>
    <col min="9255" max="9484" width="9.140625" style="1"/>
    <col min="9485" max="9485" width="6.85546875" style="1" customWidth="1"/>
    <col min="9486" max="9486" width="27.42578125" style="1" customWidth="1"/>
    <col min="9487" max="9487" width="12.85546875" style="1" customWidth="1"/>
    <col min="9488" max="9488" width="0" style="1" hidden="1" customWidth="1"/>
    <col min="9489" max="9489" width="40.42578125" style="1" customWidth="1"/>
    <col min="9490" max="9490" width="9.140625" style="1" customWidth="1"/>
    <col min="9491" max="9492" width="11" style="1" customWidth="1"/>
    <col min="9493" max="9493" width="12.28515625" style="1" customWidth="1"/>
    <col min="9494" max="9496" width="12.85546875" style="1" customWidth="1"/>
    <col min="9497" max="9497" width="10.7109375" style="1" customWidth="1"/>
    <col min="9498" max="9498" width="12.7109375" style="1" customWidth="1"/>
    <col min="9499" max="9499" width="10.85546875" style="1" customWidth="1"/>
    <col min="9500" max="9500" width="11.28515625" style="1" customWidth="1"/>
    <col min="9501" max="9501" width="9.7109375" style="1" customWidth="1"/>
    <col min="9502" max="9502" width="11.140625" style="1" customWidth="1"/>
    <col min="9503" max="9503" width="12.42578125" style="1" customWidth="1"/>
    <col min="9504" max="9509" width="9.7109375" style="1" customWidth="1"/>
    <col min="9510" max="9510" width="6.140625" style="1" customWidth="1"/>
    <col min="9511" max="9740" width="9.140625" style="1"/>
    <col min="9741" max="9741" width="6.85546875" style="1" customWidth="1"/>
    <col min="9742" max="9742" width="27.42578125" style="1" customWidth="1"/>
    <col min="9743" max="9743" width="12.85546875" style="1" customWidth="1"/>
    <col min="9744" max="9744" width="0" style="1" hidden="1" customWidth="1"/>
    <col min="9745" max="9745" width="40.42578125" style="1" customWidth="1"/>
    <col min="9746" max="9746" width="9.140625" style="1" customWidth="1"/>
    <col min="9747" max="9748" width="11" style="1" customWidth="1"/>
    <col min="9749" max="9749" width="12.28515625" style="1" customWidth="1"/>
    <col min="9750" max="9752" width="12.85546875" style="1" customWidth="1"/>
    <col min="9753" max="9753" width="10.7109375" style="1" customWidth="1"/>
    <col min="9754" max="9754" width="12.7109375" style="1" customWidth="1"/>
    <col min="9755" max="9755" width="10.85546875" style="1" customWidth="1"/>
    <col min="9756" max="9756" width="11.28515625" style="1" customWidth="1"/>
    <col min="9757" max="9757" width="9.7109375" style="1" customWidth="1"/>
    <col min="9758" max="9758" width="11.140625" style="1" customWidth="1"/>
    <col min="9759" max="9759" width="12.42578125" style="1" customWidth="1"/>
    <col min="9760" max="9765" width="9.7109375" style="1" customWidth="1"/>
    <col min="9766" max="9766" width="6.140625" style="1" customWidth="1"/>
    <col min="9767" max="9996" width="9.140625" style="1"/>
    <col min="9997" max="9997" width="6.85546875" style="1" customWidth="1"/>
    <col min="9998" max="9998" width="27.42578125" style="1" customWidth="1"/>
    <col min="9999" max="9999" width="12.85546875" style="1" customWidth="1"/>
    <col min="10000" max="10000" width="0" style="1" hidden="1" customWidth="1"/>
    <col min="10001" max="10001" width="40.42578125" style="1" customWidth="1"/>
    <col min="10002" max="10002" width="9.140625" style="1" customWidth="1"/>
    <col min="10003" max="10004" width="11" style="1" customWidth="1"/>
    <col min="10005" max="10005" width="12.28515625" style="1" customWidth="1"/>
    <col min="10006" max="10008" width="12.85546875" style="1" customWidth="1"/>
    <col min="10009" max="10009" width="10.7109375" style="1" customWidth="1"/>
    <col min="10010" max="10010" width="12.7109375" style="1" customWidth="1"/>
    <col min="10011" max="10011" width="10.85546875" style="1" customWidth="1"/>
    <col min="10012" max="10012" width="11.28515625" style="1" customWidth="1"/>
    <col min="10013" max="10013" width="9.7109375" style="1" customWidth="1"/>
    <col min="10014" max="10014" width="11.140625" style="1" customWidth="1"/>
    <col min="10015" max="10015" width="12.42578125" style="1" customWidth="1"/>
    <col min="10016" max="10021" width="9.7109375" style="1" customWidth="1"/>
    <col min="10022" max="10022" width="6.140625" style="1" customWidth="1"/>
    <col min="10023" max="10252" width="9.140625" style="1"/>
    <col min="10253" max="10253" width="6.85546875" style="1" customWidth="1"/>
    <col min="10254" max="10254" width="27.42578125" style="1" customWidth="1"/>
    <col min="10255" max="10255" width="12.85546875" style="1" customWidth="1"/>
    <col min="10256" max="10256" width="0" style="1" hidden="1" customWidth="1"/>
    <col min="10257" max="10257" width="40.42578125" style="1" customWidth="1"/>
    <col min="10258" max="10258" width="9.140625" style="1" customWidth="1"/>
    <col min="10259" max="10260" width="11" style="1" customWidth="1"/>
    <col min="10261" max="10261" width="12.28515625" style="1" customWidth="1"/>
    <col min="10262" max="10264" width="12.85546875" style="1" customWidth="1"/>
    <col min="10265" max="10265" width="10.7109375" style="1" customWidth="1"/>
    <col min="10266" max="10266" width="12.7109375" style="1" customWidth="1"/>
    <col min="10267" max="10267" width="10.85546875" style="1" customWidth="1"/>
    <col min="10268" max="10268" width="11.28515625" style="1" customWidth="1"/>
    <col min="10269" max="10269" width="9.7109375" style="1" customWidth="1"/>
    <col min="10270" max="10270" width="11.140625" style="1" customWidth="1"/>
    <col min="10271" max="10271" width="12.42578125" style="1" customWidth="1"/>
    <col min="10272" max="10277" width="9.7109375" style="1" customWidth="1"/>
    <col min="10278" max="10278" width="6.140625" style="1" customWidth="1"/>
    <col min="10279" max="10508" width="9.140625" style="1"/>
    <col min="10509" max="10509" width="6.85546875" style="1" customWidth="1"/>
    <col min="10510" max="10510" width="27.42578125" style="1" customWidth="1"/>
    <col min="10511" max="10511" width="12.85546875" style="1" customWidth="1"/>
    <col min="10512" max="10512" width="0" style="1" hidden="1" customWidth="1"/>
    <col min="10513" max="10513" width="40.42578125" style="1" customWidth="1"/>
    <col min="10514" max="10514" width="9.140625" style="1" customWidth="1"/>
    <col min="10515" max="10516" width="11" style="1" customWidth="1"/>
    <col min="10517" max="10517" width="12.28515625" style="1" customWidth="1"/>
    <col min="10518" max="10520" width="12.85546875" style="1" customWidth="1"/>
    <col min="10521" max="10521" width="10.7109375" style="1" customWidth="1"/>
    <col min="10522" max="10522" width="12.7109375" style="1" customWidth="1"/>
    <col min="10523" max="10523" width="10.85546875" style="1" customWidth="1"/>
    <col min="10524" max="10524" width="11.28515625" style="1" customWidth="1"/>
    <col min="10525" max="10525" width="9.7109375" style="1" customWidth="1"/>
    <col min="10526" max="10526" width="11.140625" style="1" customWidth="1"/>
    <col min="10527" max="10527" width="12.42578125" style="1" customWidth="1"/>
    <col min="10528" max="10533" width="9.7109375" style="1" customWidth="1"/>
    <col min="10534" max="10534" width="6.140625" style="1" customWidth="1"/>
    <col min="10535" max="10764" width="9.140625" style="1"/>
    <col min="10765" max="10765" width="6.85546875" style="1" customWidth="1"/>
    <col min="10766" max="10766" width="27.42578125" style="1" customWidth="1"/>
    <col min="10767" max="10767" width="12.85546875" style="1" customWidth="1"/>
    <col min="10768" max="10768" width="0" style="1" hidden="1" customWidth="1"/>
    <col min="10769" max="10769" width="40.42578125" style="1" customWidth="1"/>
    <col min="10770" max="10770" width="9.140625" style="1" customWidth="1"/>
    <col min="10771" max="10772" width="11" style="1" customWidth="1"/>
    <col min="10773" max="10773" width="12.28515625" style="1" customWidth="1"/>
    <col min="10774" max="10776" width="12.85546875" style="1" customWidth="1"/>
    <col min="10777" max="10777" width="10.7109375" style="1" customWidth="1"/>
    <col min="10778" max="10778" width="12.7109375" style="1" customWidth="1"/>
    <col min="10779" max="10779" width="10.85546875" style="1" customWidth="1"/>
    <col min="10780" max="10780" width="11.28515625" style="1" customWidth="1"/>
    <col min="10781" max="10781" width="9.7109375" style="1" customWidth="1"/>
    <col min="10782" max="10782" width="11.140625" style="1" customWidth="1"/>
    <col min="10783" max="10783" width="12.42578125" style="1" customWidth="1"/>
    <col min="10784" max="10789" width="9.7109375" style="1" customWidth="1"/>
    <col min="10790" max="10790" width="6.140625" style="1" customWidth="1"/>
    <col min="10791" max="11020" width="9.140625" style="1"/>
    <col min="11021" max="11021" width="6.85546875" style="1" customWidth="1"/>
    <col min="11022" max="11022" width="27.42578125" style="1" customWidth="1"/>
    <col min="11023" max="11023" width="12.85546875" style="1" customWidth="1"/>
    <col min="11024" max="11024" width="0" style="1" hidden="1" customWidth="1"/>
    <col min="11025" max="11025" width="40.42578125" style="1" customWidth="1"/>
    <col min="11026" max="11026" width="9.140625" style="1" customWidth="1"/>
    <col min="11027" max="11028" width="11" style="1" customWidth="1"/>
    <col min="11029" max="11029" width="12.28515625" style="1" customWidth="1"/>
    <col min="11030" max="11032" width="12.85546875" style="1" customWidth="1"/>
    <col min="11033" max="11033" width="10.7109375" style="1" customWidth="1"/>
    <col min="11034" max="11034" width="12.7109375" style="1" customWidth="1"/>
    <col min="11035" max="11035" width="10.85546875" style="1" customWidth="1"/>
    <col min="11036" max="11036" width="11.28515625" style="1" customWidth="1"/>
    <col min="11037" max="11037" width="9.7109375" style="1" customWidth="1"/>
    <col min="11038" max="11038" width="11.140625" style="1" customWidth="1"/>
    <col min="11039" max="11039" width="12.42578125" style="1" customWidth="1"/>
    <col min="11040" max="11045" width="9.7109375" style="1" customWidth="1"/>
    <col min="11046" max="11046" width="6.140625" style="1" customWidth="1"/>
    <col min="11047" max="11276" width="9.140625" style="1"/>
    <col min="11277" max="11277" width="6.85546875" style="1" customWidth="1"/>
    <col min="11278" max="11278" width="27.42578125" style="1" customWidth="1"/>
    <col min="11279" max="11279" width="12.85546875" style="1" customWidth="1"/>
    <col min="11280" max="11280" width="0" style="1" hidden="1" customWidth="1"/>
    <col min="11281" max="11281" width="40.42578125" style="1" customWidth="1"/>
    <col min="11282" max="11282" width="9.140625" style="1" customWidth="1"/>
    <col min="11283" max="11284" width="11" style="1" customWidth="1"/>
    <col min="11285" max="11285" width="12.28515625" style="1" customWidth="1"/>
    <col min="11286" max="11288" width="12.85546875" style="1" customWidth="1"/>
    <col min="11289" max="11289" width="10.7109375" style="1" customWidth="1"/>
    <col min="11290" max="11290" width="12.7109375" style="1" customWidth="1"/>
    <col min="11291" max="11291" width="10.85546875" style="1" customWidth="1"/>
    <col min="11292" max="11292" width="11.28515625" style="1" customWidth="1"/>
    <col min="11293" max="11293" width="9.7109375" style="1" customWidth="1"/>
    <col min="11294" max="11294" width="11.140625" style="1" customWidth="1"/>
    <col min="11295" max="11295" width="12.42578125" style="1" customWidth="1"/>
    <col min="11296" max="11301" width="9.7109375" style="1" customWidth="1"/>
    <col min="11302" max="11302" width="6.140625" style="1" customWidth="1"/>
    <col min="11303" max="11532" width="9.140625" style="1"/>
    <col min="11533" max="11533" width="6.85546875" style="1" customWidth="1"/>
    <col min="11534" max="11534" width="27.42578125" style="1" customWidth="1"/>
    <col min="11535" max="11535" width="12.85546875" style="1" customWidth="1"/>
    <col min="11536" max="11536" width="0" style="1" hidden="1" customWidth="1"/>
    <col min="11537" max="11537" width="40.42578125" style="1" customWidth="1"/>
    <col min="11538" max="11538" width="9.140625" style="1" customWidth="1"/>
    <col min="11539" max="11540" width="11" style="1" customWidth="1"/>
    <col min="11541" max="11541" width="12.28515625" style="1" customWidth="1"/>
    <col min="11542" max="11544" width="12.85546875" style="1" customWidth="1"/>
    <col min="11545" max="11545" width="10.7109375" style="1" customWidth="1"/>
    <col min="11546" max="11546" width="12.7109375" style="1" customWidth="1"/>
    <col min="11547" max="11547" width="10.85546875" style="1" customWidth="1"/>
    <col min="11548" max="11548" width="11.28515625" style="1" customWidth="1"/>
    <col min="11549" max="11549" width="9.7109375" style="1" customWidth="1"/>
    <col min="11550" max="11550" width="11.140625" style="1" customWidth="1"/>
    <col min="11551" max="11551" width="12.42578125" style="1" customWidth="1"/>
    <col min="11552" max="11557" width="9.7109375" style="1" customWidth="1"/>
    <col min="11558" max="11558" width="6.140625" style="1" customWidth="1"/>
    <col min="11559" max="11788" width="9.140625" style="1"/>
    <col min="11789" max="11789" width="6.85546875" style="1" customWidth="1"/>
    <col min="11790" max="11790" width="27.42578125" style="1" customWidth="1"/>
    <col min="11791" max="11791" width="12.85546875" style="1" customWidth="1"/>
    <col min="11792" max="11792" width="0" style="1" hidden="1" customWidth="1"/>
    <col min="11793" max="11793" width="40.42578125" style="1" customWidth="1"/>
    <col min="11794" max="11794" width="9.140625" style="1" customWidth="1"/>
    <col min="11795" max="11796" width="11" style="1" customWidth="1"/>
    <col min="11797" max="11797" width="12.28515625" style="1" customWidth="1"/>
    <col min="11798" max="11800" width="12.85546875" style="1" customWidth="1"/>
    <col min="11801" max="11801" width="10.7109375" style="1" customWidth="1"/>
    <col min="11802" max="11802" width="12.7109375" style="1" customWidth="1"/>
    <col min="11803" max="11803" width="10.85546875" style="1" customWidth="1"/>
    <col min="11804" max="11804" width="11.28515625" style="1" customWidth="1"/>
    <col min="11805" max="11805" width="9.7109375" style="1" customWidth="1"/>
    <col min="11806" max="11806" width="11.140625" style="1" customWidth="1"/>
    <col min="11807" max="11807" width="12.42578125" style="1" customWidth="1"/>
    <col min="11808" max="11813" width="9.7109375" style="1" customWidth="1"/>
    <col min="11814" max="11814" width="6.140625" style="1" customWidth="1"/>
    <col min="11815" max="12044" width="9.140625" style="1"/>
    <col min="12045" max="12045" width="6.85546875" style="1" customWidth="1"/>
    <col min="12046" max="12046" width="27.42578125" style="1" customWidth="1"/>
    <col min="12047" max="12047" width="12.85546875" style="1" customWidth="1"/>
    <col min="12048" max="12048" width="0" style="1" hidden="1" customWidth="1"/>
    <col min="12049" max="12049" width="40.42578125" style="1" customWidth="1"/>
    <col min="12050" max="12050" width="9.140625" style="1" customWidth="1"/>
    <col min="12051" max="12052" width="11" style="1" customWidth="1"/>
    <col min="12053" max="12053" width="12.28515625" style="1" customWidth="1"/>
    <col min="12054" max="12056" width="12.85546875" style="1" customWidth="1"/>
    <col min="12057" max="12057" width="10.7109375" style="1" customWidth="1"/>
    <col min="12058" max="12058" width="12.7109375" style="1" customWidth="1"/>
    <col min="12059" max="12059" width="10.85546875" style="1" customWidth="1"/>
    <col min="12060" max="12060" width="11.28515625" style="1" customWidth="1"/>
    <col min="12061" max="12061" width="9.7109375" style="1" customWidth="1"/>
    <col min="12062" max="12062" width="11.140625" style="1" customWidth="1"/>
    <col min="12063" max="12063" width="12.42578125" style="1" customWidth="1"/>
    <col min="12064" max="12069" width="9.7109375" style="1" customWidth="1"/>
    <col min="12070" max="12070" width="6.140625" style="1" customWidth="1"/>
    <col min="12071" max="12300" width="9.140625" style="1"/>
    <col min="12301" max="12301" width="6.85546875" style="1" customWidth="1"/>
    <col min="12302" max="12302" width="27.42578125" style="1" customWidth="1"/>
    <col min="12303" max="12303" width="12.85546875" style="1" customWidth="1"/>
    <col min="12304" max="12304" width="0" style="1" hidden="1" customWidth="1"/>
    <col min="12305" max="12305" width="40.42578125" style="1" customWidth="1"/>
    <col min="12306" max="12306" width="9.140625" style="1" customWidth="1"/>
    <col min="12307" max="12308" width="11" style="1" customWidth="1"/>
    <col min="12309" max="12309" width="12.28515625" style="1" customWidth="1"/>
    <col min="12310" max="12312" width="12.85546875" style="1" customWidth="1"/>
    <col min="12313" max="12313" width="10.7109375" style="1" customWidth="1"/>
    <col min="12314" max="12314" width="12.7109375" style="1" customWidth="1"/>
    <col min="12315" max="12315" width="10.85546875" style="1" customWidth="1"/>
    <col min="12316" max="12316" width="11.28515625" style="1" customWidth="1"/>
    <col min="12317" max="12317" width="9.7109375" style="1" customWidth="1"/>
    <col min="12318" max="12318" width="11.140625" style="1" customWidth="1"/>
    <col min="12319" max="12319" width="12.42578125" style="1" customWidth="1"/>
    <col min="12320" max="12325" width="9.7109375" style="1" customWidth="1"/>
    <col min="12326" max="12326" width="6.140625" style="1" customWidth="1"/>
    <col min="12327" max="12556" width="9.140625" style="1"/>
    <col min="12557" max="12557" width="6.85546875" style="1" customWidth="1"/>
    <col min="12558" max="12558" width="27.42578125" style="1" customWidth="1"/>
    <col min="12559" max="12559" width="12.85546875" style="1" customWidth="1"/>
    <col min="12560" max="12560" width="0" style="1" hidden="1" customWidth="1"/>
    <col min="12561" max="12561" width="40.42578125" style="1" customWidth="1"/>
    <col min="12562" max="12562" width="9.140625" style="1" customWidth="1"/>
    <col min="12563" max="12564" width="11" style="1" customWidth="1"/>
    <col min="12565" max="12565" width="12.28515625" style="1" customWidth="1"/>
    <col min="12566" max="12568" width="12.85546875" style="1" customWidth="1"/>
    <col min="12569" max="12569" width="10.7109375" style="1" customWidth="1"/>
    <col min="12570" max="12570" width="12.7109375" style="1" customWidth="1"/>
    <col min="12571" max="12571" width="10.85546875" style="1" customWidth="1"/>
    <col min="12572" max="12572" width="11.28515625" style="1" customWidth="1"/>
    <col min="12573" max="12573" width="9.7109375" style="1" customWidth="1"/>
    <col min="12574" max="12574" width="11.140625" style="1" customWidth="1"/>
    <col min="12575" max="12575" width="12.42578125" style="1" customWidth="1"/>
    <col min="12576" max="12581" width="9.7109375" style="1" customWidth="1"/>
    <col min="12582" max="12582" width="6.140625" style="1" customWidth="1"/>
    <col min="12583" max="12812" width="9.140625" style="1"/>
    <col min="12813" max="12813" width="6.85546875" style="1" customWidth="1"/>
    <col min="12814" max="12814" width="27.42578125" style="1" customWidth="1"/>
    <col min="12815" max="12815" width="12.85546875" style="1" customWidth="1"/>
    <col min="12816" max="12816" width="0" style="1" hidden="1" customWidth="1"/>
    <col min="12817" max="12817" width="40.42578125" style="1" customWidth="1"/>
    <col min="12818" max="12818" width="9.140625" style="1" customWidth="1"/>
    <col min="12819" max="12820" width="11" style="1" customWidth="1"/>
    <col min="12821" max="12821" width="12.28515625" style="1" customWidth="1"/>
    <col min="12822" max="12824" width="12.85546875" style="1" customWidth="1"/>
    <col min="12825" max="12825" width="10.7109375" style="1" customWidth="1"/>
    <col min="12826" max="12826" width="12.7109375" style="1" customWidth="1"/>
    <col min="12827" max="12827" width="10.85546875" style="1" customWidth="1"/>
    <col min="12828" max="12828" width="11.28515625" style="1" customWidth="1"/>
    <col min="12829" max="12829" width="9.7109375" style="1" customWidth="1"/>
    <col min="12830" max="12830" width="11.140625" style="1" customWidth="1"/>
    <col min="12831" max="12831" width="12.42578125" style="1" customWidth="1"/>
    <col min="12832" max="12837" width="9.7109375" style="1" customWidth="1"/>
    <col min="12838" max="12838" width="6.140625" style="1" customWidth="1"/>
    <col min="12839" max="13068" width="9.140625" style="1"/>
    <col min="13069" max="13069" width="6.85546875" style="1" customWidth="1"/>
    <col min="13070" max="13070" width="27.42578125" style="1" customWidth="1"/>
    <col min="13071" max="13071" width="12.85546875" style="1" customWidth="1"/>
    <col min="13072" max="13072" width="0" style="1" hidden="1" customWidth="1"/>
    <col min="13073" max="13073" width="40.42578125" style="1" customWidth="1"/>
    <col min="13074" max="13074" width="9.140625" style="1" customWidth="1"/>
    <col min="13075" max="13076" width="11" style="1" customWidth="1"/>
    <col min="13077" max="13077" width="12.28515625" style="1" customWidth="1"/>
    <col min="13078" max="13080" width="12.85546875" style="1" customWidth="1"/>
    <col min="13081" max="13081" width="10.7109375" style="1" customWidth="1"/>
    <col min="13082" max="13082" width="12.7109375" style="1" customWidth="1"/>
    <col min="13083" max="13083" width="10.85546875" style="1" customWidth="1"/>
    <col min="13084" max="13084" width="11.28515625" style="1" customWidth="1"/>
    <col min="13085" max="13085" width="9.7109375" style="1" customWidth="1"/>
    <col min="13086" max="13086" width="11.140625" style="1" customWidth="1"/>
    <col min="13087" max="13087" width="12.42578125" style="1" customWidth="1"/>
    <col min="13088" max="13093" width="9.7109375" style="1" customWidth="1"/>
    <col min="13094" max="13094" width="6.140625" style="1" customWidth="1"/>
    <col min="13095" max="13324" width="9.140625" style="1"/>
    <col min="13325" max="13325" width="6.85546875" style="1" customWidth="1"/>
    <col min="13326" max="13326" width="27.42578125" style="1" customWidth="1"/>
    <col min="13327" max="13327" width="12.85546875" style="1" customWidth="1"/>
    <col min="13328" max="13328" width="0" style="1" hidden="1" customWidth="1"/>
    <col min="13329" max="13329" width="40.42578125" style="1" customWidth="1"/>
    <col min="13330" max="13330" width="9.140625" style="1" customWidth="1"/>
    <col min="13331" max="13332" width="11" style="1" customWidth="1"/>
    <col min="13333" max="13333" width="12.28515625" style="1" customWidth="1"/>
    <col min="13334" max="13336" width="12.85546875" style="1" customWidth="1"/>
    <col min="13337" max="13337" width="10.7109375" style="1" customWidth="1"/>
    <col min="13338" max="13338" width="12.7109375" style="1" customWidth="1"/>
    <col min="13339" max="13339" width="10.85546875" style="1" customWidth="1"/>
    <col min="13340" max="13340" width="11.28515625" style="1" customWidth="1"/>
    <col min="13341" max="13341" width="9.7109375" style="1" customWidth="1"/>
    <col min="13342" max="13342" width="11.140625" style="1" customWidth="1"/>
    <col min="13343" max="13343" width="12.42578125" style="1" customWidth="1"/>
    <col min="13344" max="13349" width="9.7109375" style="1" customWidth="1"/>
    <col min="13350" max="13350" width="6.140625" style="1" customWidth="1"/>
    <col min="13351" max="13580" width="9.140625" style="1"/>
    <col min="13581" max="13581" width="6.85546875" style="1" customWidth="1"/>
    <col min="13582" max="13582" width="27.42578125" style="1" customWidth="1"/>
    <col min="13583" max="13583" width="12.85546875" style="1" customWidth="1"/>
    <col min="13584" max="13584" width="0" style="1" hidden="1" customWidth="1"/>
    <col min="13585" max="13585" width="40.42578125" style="1" customWidth="1"/>
    <col min="13586" max="13586" width="9.140625" style="1" customWidth="1"/>
    <col min="13587" max="13588" width="11" style="1" customWidth="1"/>
    <col min="13589" max="13589" width="12.28515625" style="1" customWidth="1"/>
    <col min="13590" max="13592" width="12.85546875" style="1" customWidth="1"/>
    <col min="13593" max="13593" width="10.7109375" style="1" customWidth="1"/>
    <col min="13594" max="13594" width="12.7109375" style="1" customWidth="1"/>
    <col min="13595" max="13595" width="10.85546875" style="1" customWidth="1"/>
    <col min="13596" max="13596" width="11.28515625" style="1" customWidth="1"/>
    <col min="13597" max="13597" width="9.7109375" style="1" customWidth="1"/>
    <col min="13598" max="13598" width="11.140625" style="1" customWidth="1"/>
    <col min="13599" max="13599" width="12.42578125" style="1" customWidth="1"/>
    <col min="13600" max="13605" width="9.7109375" style="1" customWidth="1"/>
    <col min="13606" max="13606" width="6.140625" style="1" customWidth="1"/>
    <col min="13607" max="13836" width="9.140625" style="1"/>
    <col min="13837" max="13837" width="6.85546875" style="1" customWidth="1"/>
    <col min="13838" max="13838" width="27.42578125" style="1" customWidth="1"/>
    <col min="13839" max="13839" width="12.85546875" style="1" customWidth="1"/>
    <col min="13840" max="13840" width="0" style="1" hidden="1" customWidth="1"/>
    <col min="13841" max="13841" width="40.42578125" style="1" customWidth="1"/>
    <col min="13842" max="13842" width="9.140625" style="1" customWidth="1"/>
    <col min="13843" max="13844" width="11" style="1" customWidth="1"/>
    <col min="13845" max="13845" width="12.28515625" style="1" customWidth="1"/>
    <col min="13846" max="13848" width="12.85546875" style="1" customWidth="1"/>
    <col min="13849" max="13849" width="10.7109375" style="1" customWidth="1"/>
    <col min="13850" max="13850" width="12.7109375" style="1" customWidth="1"/>
    <col min="13851" max="13851" width="10.85546875" style="1" customWidth="1"/>
    <col min="13852" max="13852" width="11.28515625" style="1" customWidth="1"/>
    <col min="13853" max="13853" width="9.7109375" style="1" customWidth="1"/>
    <col min="13854" max="13854" width="11.140625" style="1" customWidth="1"/>
    <col min="13855" max="13855" width="12.42578125" style="1" customWidth="1"/>
    <col min="13856" max="13861" width="9.7109375" style="1" customWidth="1"/>
    <col min="13862" max="13862" width="6.140625" style="1" customWidth="1"/>
    <col min="13863" max="14092" width="9.140625" style="1"/>
    <col min="14093" max="14093" width="6.85546875" style="1" customWidth="1"/>
    <col min="14094" max="14094" width="27.42578125" style="1" customWidth="1"/>
    <col min="14095" max="14095" width="12.85546875" style="1" customWidth="1"/>
    <col min="14096" max="14096" width="0" style="1" hidden="1" customWidth="1"/>
    <col min="14097" max="14097" width="40.42578125" style="1" customWidth="1"/>
    <col min="14098" max="14098" width="9.140625" style="1" customWidth="1"/>
    <col min="14099" max="14100" width="11" style="1" customWidth="1"/>
    <col min="14101" max="14101" width="12.28515625" style="1" customWidth="1"/>
    <col min="14102" max="14104" width="12.85546875" style="1" customWidth="1"/>
    <col min="14105" max="14105" width="10.7109375" style="1" customWidth="1"/>
    <col min="14106" max="14106" width="12.7109375" style="1" customWidth="1"/>
    <col min="14107" max="14107" width="10.85546875" style="1" customWidth="1"/>
    <col min="14108" max="14108" width="11.28515625" style="1" customWidth="1"/>
    <col min="14109" max="14109" width="9.7109375" style="1" customWidth="1"/>
    <col min="14110" max="14110" width="11.140625" style="1" customWidth="1"/>
    <col min="14111" max="14111" width="12.42578125" style="1" customWidth="1"/>
    <col min="14112" max="14117" width="9.7109375" style="1" customWidth="1"/>
    <col min="14118" max="14118" width="6.140625" style="1" customWidth="1"/>
    <col min="14119" max="14348" width="9.140625" style="1"/>
    <col min="14349" max="14349" width="6.85546875" style="1" customWidth="1"/>
    <col min="14350" max="14350" width="27.42578125" style="1" customWidth="1"/>
    <col min="14351" max="14351" width="12.85546875" style="1" customWidth="1"/>
    <col min="14352" max="14352" width="0" style="1" hidden="1" customWidth="1"/>
    <col min="14353" max="14353" width="40.42578125" style="1" customWidth="1"/>
    <col min="14354" max="14354" width="9.140625" style="1" customWidth="1"/>
    <col min="14355" max="14356" width="11" style="1" customWidth="1"/>
    <col min="14357" max="14357" width="12.28515625" style="1" customWidth="1"/>
    <col min="14358" max="14360" width="12.85546875" style="1" customWidth="1"/>
    <col min="14361" max="14361" width="10.7109375" style="1" customWidth="1"/>
    <col min="14362" max="14362" width="12.7109375" style="1" customWidth="1"/>
    <col min="14363" max="14363" width="10.85546875" style="1" customWidth="1"/>
    <col min="14364" max="14364" width="11.28515625" style="1" customWidth="1"/>
    <col min="14365" max="14365" width="9.7109375" style="1" customWidth="1"/>
    <col min="14366" max="14366" width="11.140625" style="1" customWidth="1"/>
    <col min="14367" max="14367" width="12.42578125" style="1" customWidth="1"/>
    <col min="14368" max="14373" width="9.7109375" style="1" customWidth="1"/>
    <col min="14374" max="14374" width="6.140625" style="1" customWidth="1"/>
    <col min="14375" max="14604" width="9.140625" style="1"/>
    <col min="14605" max="14605" width="6.85546875" style="1" customWidth="1"/>
    <col min="14606" max="14606" width="27.42578125" style="1" customWidth="1"/>
    <col min="14607" max="14607" width="12.85546875" style="1" customWidth="1"/>
    <col min="14608" max="14608" width="0" style="1" hidden="1" customWidth="1"/>
    <col min="14609" max="14609" width="40.42578125" style="1" customWidth="1"/>
    <col min="14610" max="14610" width="9.140625" style="1" customWidth="1"/>
    <col min="14611" max="14612" width="11" style="1" customWidth="1"/>
    <col min="14613" max="14613" width="12.28515625" style="1" customWidth="1"/>
    <col min="14614" max="14616" width="12.85546875" style="1" customWidth="1"/>
    <col min="14617" max="14617" width="10.7109375" style="1" customWidth="1"/>
    <col min="14618" max="14618" width="12.7109375" style="1" customWidth="1"/>
    <col min="14619" max="14619" width="10.85546875" style="1" customWidth="1"/>
    <col min="14620" max="14620" width="11.28515625" style="1" customWidth="1"/>
    <col min="14621" max="14621" width="9.7109375" style="1" customWidth="1"/>
    <col min="14622" max="14622" width="11.140625" style="1" customWidth="1"/>
    <col min="14623" max="14623" width="12.42578125" style="1" customWidth="1"/>
    <col min="14624" max="14629" width="9.7109375" style="1" customWidth="1"/>
    <col min="14630" max="14630" width="6.140625" style="1" customWidth="1"/>
    <col min="14631" max="14860" width="9.140625" style="1"/>
    <col min="14861" max="14861" width="6.85546875" style="1" customWidth="1"/>
    <col min="14862" max="14862" width="27.42578125" style="1" customWidth="1"/>
    <col min="14863" max="14863" width="12.85546875" style="1" customWidth="1"/>
    <col min="14864" max="14864" width="0" style="1" hidden="1" customWidth="1"/>
    <col min="14865" max="14865" width="40.42578125" style="1" customWidth="1"/>
    <col min="14866" max="14866" width="9.140625" style="1" customWidth="1"/>
    <col min="14867" max="14868" width="11" style="1" customWidth="1"/>
    <col min="14869" max="14869" width="12.28515625" style="1" customWidth="1"/>
    <col min="14870" max="14872" width="12.85546875" style="1" customWidth="1"/>
    <col min="14873" max="14873" width="10.7109375" style="1" customWidth="1"/>
    <col min="14874" max="14874" width="12.7109375" style="1" customWidth="1"/>
    <col min="14875" max="14875" width="10.85546875" style="1" customWidth="1"/>
    <col min="14876" max="14876" width="11.28515625" style="1" customWidth="1"/>
    <col min="14877" max="14877" width="9.7109375" style="1" customWidth="1"/>
    <col min="14878" max="14878" width="11.140625" style="1" customWidth="1"/>
    <col min="14879" max="14879" width="12.42578125" style="1" customWidth="1"/>
    <col min="14880" max="14885" width="9.7109375" style="1" customWidth="1"/>
    <col min="14886" max="14886" width="6.140625" style="1" customWidth="1"/>
    <col min="14887" max="15116" width="9.140625" style="1"/>
    <col min="15117" max="15117" width="6.85546875" style="1" customWidth="1"/>
    <col min="15118" max="15118" width="27.42578125" style="1" customWidth="1"/>
    <col min="15119" max="15119" width="12.85546875" style="1" customWidth="1"/>
    <col min="15120" max="15120" width="0" style="1" hidden="1" customWidth="1"/>
    <col min="15121" max="15121" width="40.42578125" style="1" customWidth="1"/>
    <col min="15122" max="15122" width="9.140625" style="1" customWidth="1"/>
    <col min="15123" max="15124" width="11" style="1" customWidth="1"/>
    <col min="15125" max="15125" width="12.28515625" style="1" customWidth="1"/>
    <col min="15126" max="15128" width="12.85546875" style="1" customWidth="1"/>
    <col min="15129" max="15129" width="10.7109375" style="1" customWidth="1"/>
    <col min="15130" max="15130" width="12.7109375" style="1" customWidth="1"/>
    <col min="15131" max="15131" width="10.85546875" style="1" customWidth="1"/>
    <col min="15132" max="15132" width="11.28515625" style="1" customWidth="1"/>
    <col min="15133" max="15133" width="9.7109375" style="1" customWidth="1"/>
    <col min="15134" max="15134" width="11.140625" style="1" customWidth="1"/>
    <col min="15135" max="15135" width="12.42578125" style="1" customWidth="1"/>
    <col min="15136" max="15141" width="9.7109375" style="1" customWidth="1"/>
    <col min="15142" max="15142" width="6.140625" style="1" customWidth="1"/>
    <col min="15143" max="15372" width="9.140625" style="1"/>
    <col min="15373" max="15373" width="6.85546875" style="1" customWidth="1"/>
    <col min="15374" max="15374" width="27.42578125" style="1" customWidth="1"/>
    <col min="15375" max="15375" width="12.85546875" style="1" customWidth="1"/>
    <col min="15376" max="15376" width="0" style="1" hidden="1" customWidth="1"/>
    <col min="15377" max="15377" width="40.42578125" style="1" customWidth="1"/>
    <col min="15378" max="15378" width="9.140625" style="1" customWidth="1"/>
    <col min="15379" max="15380" width="11" style="1" customWidth="1"/>
    <col min="15381" max="15381" width="12.28515625" style="1" customWidth="1"/>
    <col min="15382" max="15384" width="12.85546875" style="1" customWidth="1"/>
    <col min="15385" max="15385" width="10.7109375" style="1" customWidth="1"/>
    <col min="15386" max="15386" width="12.7109375" style="1" customWidth="1"/>
    <col min="15387" max="15387" width="10.85546875" style="1" customWidth="1"/>
    <col min="15388" max="15388" width="11.28515625" style="1" customWidth="1"/>
    <col min="15389" max="15389" width="9.7109375" style="1" customWidth="1"/>
    <col min="15390" max="15390" width="11.140625" style="1" customWidth="1"/>
    <col min="15391" max="15391" width="12.42578125" style="1" customWidth="1"/>
    <col min="15392" max="15397" width="9.7109375" style="1" customWidth="1"/>
    <col min="15398" max="15398" width="6.140625" style="1" customWidth="1"/>
    <col min="15399" max="15628" width="9.140625" style="1"/>
    <col min="15629" max="15629" width="6.85546875" style="1" customWidth="1"/>
    <col min="15630" max="15630" width="27.42578125" style="1" customWidth="1"/>
    <col min="15631" max="15631" width="12.85546875" style="1" customWidth="1"/>
    <col min="15632" max="15632" width="0" style="1" hidden="1" customWidth="1"/>
    <col min="15633" max="15633" width="40.42578125" style="1" customWidth="1"/>
    <col min="15634" max="15634" width="9.140625" style="1" customWidth="1"/>
    <col min="15635" max="15636" width="11" style="1" customWidth="1"/>
    <col min="15637" max="15637" width="12.28515625" style="1" customWidth="1"/>
    <col min="15638" max="15640" width="12.85546875" style="1" customWidth="1"/>
    <col min="15641" max="15641" width="10.7109375" style="1" customWidth="1"/>
    <col min="15642" max="15642" width="12.7109375" style="1" customWidth="1"/>
    <col min="15643" max="15643" width="10.85546875" style="1" customWidth="1"/>
    <col min="15644" max="15644" width="11.28515625" style="1" customWidth="1"/>
    <col min="15645" max="15645" width="9.7109375" style="1" customWidth="1"/>
    <col min="15646" max="15646" width="11.140625" style="1" customWidth="1"/>
    <col min="15647" max="15647" width="12.42578125" style="1" customWidth="1"/>
    <col min="15648" max="15653" width="9.7109375" style="1" customWidth="1"/>
    <col min="15654" max="15654" width="6.140625" style="1" customWidth="1"/>
    <col min="15655" max="15884" width="9.140625" style="1"/>
    <col min="15885" max="15885" width="6.85546875" style="1" customWidth="1"/>
    <col min="15886" max="15886" width="27.42578125" style="1" customWidth="1"/>
    <col min="15887" max="15887" width="12.85546875" style="1" customWidth="1"/>
    <col min="15888" max="15888" width="0" style="1" hidden="1" customWidth="1"/>
    <col min="15889" max="15889" width="40.42578125" style="1" customWidth="1"/>
    <col min="15890" max="15890" width="9.140625" style="1" customWidth="1"/>
    <col min="15891" max="15892" width="11" style="1" customWidth="1"/>
    <col min="15893" max="15893" width="12.28515625" style="1" customWidth="1"/>
    <col min="15894" max="15896" width="12.85546875" style="1" customWidth="1"/>
    <col min="15897" max="15897" width="10.7109375" style="1" customWidth="1"/>
    <col min="15898" max="15898" width="12.7109375" style="1" customWidth="1"/>
    <col min="15899" max="15899" width="10.85546875" style="1" customWidth="1"/>
    <col min="15900" max="15900" width="11.28515625" style="1" customWidth="1"/>
    <col min="15901" max="15901" width="9.7109375" style="1" customWidth="1"/>
    <col min="15902" max="15902" width="11.140625" style="1" customWidth="1"/>
    <col min="15903" max="15903" width="12.42578125" style="1" customWidth="1"/>
    <col min="15904" max="15909" width="9.7109375" style="1" customWidth="1"/>
    <col min="15910" max="15910" width="6.140625" style="1" customWidth="1"/>
    <col min="15911" max="16140" width="9.140625" style="1"/>
    <col min="16141" max="16141" width="6.85546875" style="1" customWidth="1"/>
    <col min="16142" max="16142" width="27.42578125" style="1" customWidth="1"/>
    <col min="16143" max="16143" width="12.85546875" style="1" customWidth="1"/>
    <col min="16144" max="16144" width="0" style="1" hidden="1" customWidth="1"/>
    <col min="16145" max="16145" width="40.42578125" style="1" customWidth="1"/>
    <col min="16146" max="16146" width="9.140625" style="1" customWidth="1"/>
    <col min="16147" max="16148" width="11" style="1" customWidth="1"/>
    <col min="16149" max="16149" width="12.28515625" style="1" customWidth="1"/>
    <col min="16150" max="16152" width="12.85546875" style="1" customWidth="1"/>
    <col min="16153" max="16153" width="10.7109375" style="1" customWidth="1"/>
    <col min="16154" max="16154" width="12.7109375" style="1" customWidth="1"/>
    <col min="16155" max="16155" width="10.85546875" style="1" customWidth="1"/>
    <col min="16156" max="16156" width="11.28515625" style="1" customWidth="1"/>
    <col min="16157" max="16157" width="9.7109375" style="1" customWidth="1"/>
    <col min="16158" max="16158" width="11.140625" style="1" customWidth="1"/>
    <col min="16159" max="16159" width="12.42578125" style="1" customWidth="1"/>
    <col min="16160" max="16165" width="9.7109375" style="1" customWidth="1"/>
    <col min="16166" max="16166" width="6.140625" style="1" customWidth="1"/>
    <col min="16167" max="16384" width="9.140625" style="1"/>
  </cols>
  <sheetData>
    <row r="1" spans="1:44" ht="22.15" customHeight="1">
      <c r="B1" s="457" t="s">
        <v>1095</v>
      </c>
      <c r="C1" s="406"/>
      <c r="D1" s="406"/>
      <c r="E1" s="406"/>
      <c r="F1" s="406"/>
      <c r="G1" s="406"/>
      <c r="H1" s="406"/>
      <c r="I1" s="406"/>
      <c r="J1" s="406"/>
      <c r="K1" s="476"/>
      <c r="L1" s="406"/>
      <c r="M1" s="406"/>
      <c r="N1" s="476"/>
      <c r="O1" s="406"/>
      <c r="P1" s="406"/>
      <c r="Q1" s="536"/>
      <c r="R1" s="406"/>
      <c r="S1" s="406"/>
      <c r="T1" s="406"/>
      <c r="U1" s="406"/>
      <c r="V1" s="406"/>
      <c r="W1" s="406"/>
      <c r="X1" s="406"/>
      <c r="Y1" s="406"/>
      <c r="Z1" s="406"/>
      <c r="AA1" s="406"/>
      <c r="AB1" s="476"/>
      <c r="AC1" s="476"/>
      <c r="AD1" s="406"/>
      <c r="AE1" s="476"/>
      <c r="AF1" s="476"/>
      <c r="AG1" s="406"/>
      <c r="AH1" s="476"/>
      <c r="AI1" s="476"/>
      <c r="AJ1" s="406"/>
      <c r="AK1" s="653" t="s">
        <v>1096</v>
      </c>
      <c r="AL1" s="653"/>
    </row>
    <row r="2" spans="1:44" ht="33.75" customHeight="1">
      <c r="A2" s="654" t="s">
        <v>1093</v>
      </c>
      <c r="B2" s="654"/>
      <c r="C2" s="654"/>
      <c r="D2" s="654"/>
      <c r="E2" s="654"/>
      <c r="F2" s="654"/>
      <c r="G2" s="654"/>
      <c r="H2" s="654"/>
      <c r="I2" s="654"/>
      <c r="J2" s="654"/>
      <c r="K2" s="654"/>
      <c r="L2" s="654"/>
      <c r="M2" s="654"/>
      <c r="N2" s="654"/>
      <c r="O2" s="654"/>
      <c r="P2" s="654"/>
      <c r="Q2" s="654"/>
      <c r="R2" s="654"/>
      <c r="S2" s="654"/>
      <c r="T2" s="654"/>
      <c r="U2" s="558"/>
      <c r="V2" s="558"/>
      <c r="W2" s="558"/>
      <c r="X2" s="558"/>
      <c r="Y2" s="558"/>
      <c r="Z2" s="558"/>
      <c r="AA2" s="558"/>
      <c r="AB2" s="558"/>
      <c r="AC2" s="558"/>
      <c r="AD2" s="558"/>
      <c r="AE2" s="558"/>
      <c r="AF2" s="558"/>
      <c r="AG2" s="558"/>
      <c r="AH2" s="558"/>
      <c r="AI2" s="558"/>
      <c r="AJ2" s="558"/>
      <c r="AK2" s="558"/>
      <c r="AL2" s="558"/>
    </row>
    <row r="3" spans="1:44" ht="15" customHeight="1">
      <c r="A3" s="642" t="e">
        <f>+#REF!</f>
        <v>#REF!</v>
      </c>
      <c r="B3" s="642"/>
      <c r="C3" s="642"/>
      <c r="D3" s="642"/>
      <c r="E3" s="642"/>
      <c r="F3" s="642"/>
      <c r="G3" s="642"/>
      <c r="H3" s="642"/>
      <c r="I3" s="642"/>
      <c r="J3" s="642"/>
      <c r="K3" s="642"/>
      <c r="L3" s="642"/>
      <c r="M3" s="642"/>
      <c r="N3" s="642"/>
      <c r="O3" s="642"/>
      <c r="P3" s="642"/>
      <c r="Q3" s="642"/>
      <c r="R3" s="642"/>
      <c r="S3" s="642"/>
      <c r="T3" s="642"/>
      <c r="U3" s="559"/>
      <c r="V3" s="559"/>
      <c r="W3" s="559"/>
      <c r="X3" s="559"/>
      <c r="Y3" s="559"/>
      <c r="Z3" s="559"/>
      <c r="AA3" s="559"/>
      <c r="AB3" s="559"/>
      <c r="AC3" s="559"/>
      <c r="AD3" s="559"/>
      <c r="AE3" s="559"/>
      <c r="AF3" s="559"/>
      <c r="AG3" s="559"/>
      <c r="AH3" s="559"/>
      <c r="AI3" s="559"/>
      <c r="AJ3" s="559"/>
      <c r="AK3" s="559"/>
      <c r="AL3" s="559"/>
    </row>
    <row r="4" spans="1:44" ht="15" customHeight="1">
      <c r="A4" s="643" t="s">
        <v>0</v>
      </c>
      <c r="B4" s="643"/>
      <c r="C4" s="643"/>
      <c r="D4" s="643"/>
      <c r="E4" s="643"/>
      <c r="F4" s="643"/>
      <c r="G4" s="643"/>
      <c r="H4" s="643"/>
      <c r="I4" s="643"/>
      <c r="J4" s="643"/>
      <c r="K4" s="643"/>
      <c r="L4" s="643"/>
      <c r="M4" s="643"/>
      <c r="N4" s="643"/>
      <c r="O4" s="643"/>
      <c r="P4" s="643"/>
      <c r="Q4" s="643"/>
      <c r="R4" s="643"/>
      <c r="S4" s="643"/>
      <c r="T4" s="643"/>
      <c r="U4" s="560"/>
      <c r="V4" s="560"/>
      <c r="W4" s="560"/>
      <c r="X4" s="560"/>
      <c r="Y4" s="560"/>
      <c r="Z4" s="560"/>
      <c r="AA4" s="560"/>
      <c r="AB4" s="560"/>
      <c r="AC4" s="560"/>
      <c r="AD4" s="560"/>
      <c r="AE4" s="560"/>
      <c r="AF4" s="560"/>
      <c r="AG4" s="560"/>
      <c r="AH4" s="560"/>
      <c r="AI4" s="560"/>
      <c r="AJ4" s="560"/>
      <c r="AK4" s="560"/>
      <c r="AL4" s="560"/>
    </row>
    <row r="5" spans="1:44" ht="36" customHeight="1">
      <c r="A5" s="644" t="s">
        <v>1</v>
      </c>
      <c r="B5" s="645" t="s">
        <v>2</v>
      </c>
      <c r="C5" s="644" t="s">
        <v>3</v>
      </c>
      <c r="D5" s="520"/>
      <c r="E5" s="644" t="s">
        <v>4</v>
      </c>
      <c r="F5" s="644" t="s">
        <v>5</v>
      </c>
      <c r="G5" s="655" t="s">
        <v>6</v>
      </c>
      <c r="H5" s="656"/>
      <c r="I5" s="656"/>
      <c r="J5" s="657"/>
      <c r="K5" s="644" t="s">
        <v>1102</v>
      </c>
      <c r="L5" s="644"/>
      <c r="M5" s="644"/>
      <c r="N5" s="644" t="s">
        <v>1103</v>
      </c>
      <c r="O5" s="644"/>
      <c r="P5" s="644"/>
      <c r="Q5" s="644" t="s">
        <v>1099</v>
      </c>
      <c r="R5" s="644"/>
      <c r="S5" s="644"/>
      <c r="T5" s="647" t="s">
        <v>8</v>
      </c>
      <c r="U5" s="655" t="s">
        <v>1105</v>
      </c>
      <c r="V5" s="656"/>
      <c r="W5" s="657"/>
      <c r="X5" s="655" t="s">
        <v>7</v>
      </c>
      <c r="Y5" s="656"/>
      <c r="Z5" s="656"/>
      <c r="AA5" s="644" t="s">
        <v>915</v>
      </c>
      <c r="AB5" s="644"/>
      <c r="AC5" s="644"/>
      <c r="AD5" s="655" t="s">
        <v>1106</v>
      </c>
      <c r="AE5" s="656"/>
      <c r="AF5" s="656"/>
      <c r="AG5" s="655" t="s">
        <v>1107</v>
      </c>
      <c r="AH5" s="656"/>
      <c r="AI5" s="656"/>
      <c r="AJ5" s="521"/>
      <c r="AK5" s="461"/>
      <c r="AL5" s="644" t="s">
        <v>8</v>
      </c>
    </row>
    <row r="6" spans="1:44" ht="42.75">
      <c r="A6" s="644"/>
      <c r="B6" s="645"/>
      <c r="C6" s="644"/>
      <c r="D6" s="520"/>
      <c r="E6" s="644"/>
      <c r="F6" s="644"/>
      <c r="G6" s="522" t="s">
        <v>9</v>
      </c>
      <c r="H6" s="283" t="s">
        <v>10</v>
      </c>
      <c r="I6" s="522" t="s">
        <v>11</v>
      </c>
      <c r="J6" s="522" t="s">
        <v>12</v>
      </c>
      <c r="K6" s="526" t="s">
        <v>9</v>
      </c>
      <c r="L6" s="281" t="s">
        <v>10</v>
      </c>
      <c r="M6" s="520" t="s">
        <v>11</v>
      </c>
      <c r="N6" s="526" t="s">
        <v>9</v>
      </c>
      <c r="O6" s="281" t="s">
        <v>10</v>
      </c>
      <c r="P6" s="520" t="s">
        <v>11</v>
      </c>
      <c r="Q6" s="537" t="s">
        <v>9</v>
      </c>
      <c r="R6" s="281" t="s">
        <v>10</v>
      </c>
      <c r="S6" s="520" t="s">
        <v>11</v>
      </c>
      <c r="T6" s="632"/>
      <c r="U6" s="522" t="s">
        <v>9</v>
      </c>
      <c r="V6" s="522" t="s">
        <v>10</v>
      </c>
      <c r="W6" s="522" t="s">
        <v>11</v>
      </c>
      <c r="X6" s="522" t="s">
        <v>9</v>
      </c>
      <c r="Y6" s="522" t="s">
        <v>10</v>
      </c>
      <c r="Z6" s="522" t="s">
        <v>11</v>
      </c>
      <c r="AA6" s="522" t="s">
        <v>9</v>
      </c>
      <c r="AB6" s="477" t="s">
        <v>10</v>
      </c>
      <c r="AC6" s="477" t="s">
        <v>11</v>
      </c>
      <c r="AD6" s="522" t="s">
        <v>9</v>
      </c>
      <c r="AE6" s="477" t="s">
        <v>10</v>
      </c>
      <c r="AF6" s="477" t="s">
        <v>11</v>
      </c>
      <c r="AG6" s="522" t="s">
        <v>9</v>
      </c>
      <c r="AH6" s="477" t="s">
        <v>10</v>
      </c>
      <c r="AI6" s="477" t="s">
        <v>11</v>
      </c>
      <c r="AJ6" s="522"/>
      <c r="AK6" s="522" t="s">
        <v>12</v>
      </c>
      <c r="AL6" s="644"/>
    </row>
    <row r="7" spans="1:44">
      <c r="A7" s="4" t="s">
        <v>48</v>
      </c>
      <c r="B7" s="4" t="s">
        <v>49</v>
      </c>
      <c r="C7" s="4" t="s">
        <v>1083</v>
      </c>
      <c r="D7" s="4"/>
      <c r="E7" s="4"/>
      <c r="F7" s="4">
        <v>1</v>
      </c>
      <c r="G7" s="425">
        <f>+F7+1</f>
        <v>2</v>
      </c>
      <c r="H7" s="425">
        <f t="shared" ref="H7:AL7" si="0">+G7+1</f>
        <v>3</v>
      </c>
      <c r="I7" s="425">
        <f t="shared" si="0"/>
        <v>4</v>
      </c>
      <c r="J7" s="425">
        <f t="shared" si="0"/>
        <v>5</v>
      </c>
      <c r="K7" s="425">
        <f t="shared" ref="K7" si="1">+J7+1</f>
        <v>6</v>
      </c>
      <c r="L7" s="425">
        <f t="shared" ref="L7" si="2">+K7+1</f>
        <v>7</v>
      </c>
      <c r="M7" s="425">
        <f t="shared" ref="M7" si="3">+L7+1</f>
        <v>8</v>
      </c>
      <c r="N7" s="425">
        <f t="shared" ref="N7" si="4">+M7+1</f>
        <v>9</v>
      </c>
      <c r="O7" s="425">
        <f t="shared" ref="O7" si="5">+N7+1</f>
        <v>10</v>
      </c>
      <c r="P7" s="425">
        <f t="shared" ref="P7" si="6">+O7+1</f>
        <v>11</v>
      </c>
      <c r="Q7" s="425">
        <f t="shared" ref="Q7" si="7">+P7+1</f>
        <v>12</v>
      </c>
      <c r="R7" s="425">
        <f t="shared" ref="R7" si="8">+Q7+1</f>
        <v>13</v>
      </c>
      <c r="S7" s="425">
        <f t="shared" ref="S7" si="9">+R7+1</f>
        <v>14</v>
      </c>
      <c r="T7" s="425">
        <f t="shared" ref="T7" si="10">+S7+1</f>
        <v>15</v>
      </c>
      <c r="U7" s="425"/>
      <c r="V7" s="425"/>
      <c r="W7" s="425"/>
      <c r="X7" s="425">
        <f>+J7+1</f>
        <v>6</v>
      </c>
      <c r="Y7" s="425">
        <f t="shared" si="0"/>
        <v>7</v>
      </c>
      <c r="Z7" s="425">
        <f t="shared" si="0"/>
        <v>8</v>
      </c>
      <c r="AA7" s="425"/>
      <c r="AB7" s="478"/>
      <c r="AC7" s="478"/>
      <c r="AD7" s="425"/>
      <c r="AE7" s="478"/>
      <c r="AF7" s="478"/>
      <c r="AG7" s="425"/>
      <c r="AH7" s="478"/>
      <c r="AI7" s="478"/>
      <c r="AJ7" s="425"/>
      <c r="AK7" s="425">
        <f>+Z7+1</f>
        <v>9</v>
      </c>
      <c r="AL7" s="425">
        <f t="shared" si="0"/>
        <v>10</v>
      </c>
    </row>
    <row r="8" spans="1:44" ht="33" hidden="1" customHeight="1">
      <c r="A8" s="4"/>
      <c r="B8" s="520" t="s">
        <v>13</v>
      </c>
      <c r="C8" s="4"/>
      <c r="D8" s="4"/>
      <c r="E8" s="4"/>
      <c r="F8" s="4"/>
      <c r="G8" s="323">
        <f>+G9+G12+G284</f>
        <v>172053.96</v>
      </c>
      <c r="H8" s="323">
        <f>+H9+H12+H284</f>
        <v>163551.94999999995</v>
      </c>
      <c r="I8" s="323">
        <f>+I9+I12+I284</f>
        <v>8502.0099999999984</v>
      </c>
      <c r="J8" s="323">
        <f>+J9+J12+J284</f>
        <v>0</v>
      </c>
      <c r="K8" s="479"/>
      <c r="L8" s="323"/>
      <c r="M8" s="323"/>
      <c r="N8" s="479"/>
      <c r="O8" s="323"/>
      <c r="P8" s="323"/>
      <c r="Q8" s="539"/>
      <c r="R8" s="323"/>
      <c r="S8" s="323"/>
      <c r="T8" s="323"/>
      <c r="U8" s="323"/>
      <c r="V8" s="323"/>
      <c r="W8" s="323"/>
      <c r="X8" s="323">
        <f>+X9+X12+X284</f>
        <v>29412</v>
      </c>
      <c r="Y8" s="323">
        <f>+Y9+Y12+Y284</f>
        <v>27995.999999999996</v>
      </c>
      <c r="Z8" s="323">
        <f>+Z9+Z12+Z284</f>
        <v>1416</v>
      </c>
      <c r="AA8" s="323"/>
      <c r="AB8" s="479"/>
      <c r="AC8" s="479"/>
      <c r="AD8" s="323"/>
      <c r="AE8" s="479"/>
      <c r="AF8" s="479"/>
      <c r="AG8" s="323"/>
      <c r="AH8" s="479"/>
      <c r="AI8" s="479"/>
      <c r="AJ8" s="323"/>
      <c r="AK8" s="323">
        <f>+AK9+AK12+AK284</f>
        <v>190</v>
      </c>
      <c r="AL8" s="4"/>
    </row>
    <row r="9" spans="1:44" ht="63" customHeight="1">
      <c r="A9" s="520" t="s">
        <v>14</v>
      </c>
      <c r="B9" s="236" t="s">
        <v>15</v>
      </c>
      <c r="C9" s="236"/>
      <c r="D9" s="236"/>
      <c r="E9" s="236"/>
      <c r="F9" s="236"/>
      <c r="G9" s="323">
        <f>+G10</f>
        <v>9796</v>
      </c>
      <c r="H9" s="323">
        <f t="shared" ref="H9:AK9" si="11">+H10</f>
        <v>9020</v>
      </c>
      <c r="I9" s="323">
        <f t="shared" si="11"/>
        <v>776</v>
      </c>
      <c r="J9" s="323">
        <f t="shared" si="11"/>
        <v>0</v>
      </c>
      <c r="K9" s="323">
        <f t="shared" si="11"/>
        <v>0</v>
      </c>
      <c r="L9" s="323">
        <f t="shared" si="11"/>
        <v>0</v>
      </c>
      <c r="M9" s="323">
        <f t="shared" si="11"/>
        <v>0</v>
      </c>
      <c r="N9" s="323">
        <f t="shared" si="11"/>
        <v>104</v>
      </c>
      <c r="O9" s="323">
        <f t="shared" si="11"/>
        <v>0</v>
      </c>
      <c r="P9" s="323">
        <f t="shared" si="11"/>
        <v>104</v>
      </c>
      <c r="Q9" s="323">
        <f t="shared" si="11"/>
        <v>9900</v>
      </c>
      <c r="R9" s="323">
        <f t="shared" si="11"/>
        <v>9020</v>
      </c>
      <c r="S9" s="323">
        <f t="shared" si="11"/>
        <v>880</v>
      </c>
      <c r="T9" s="323"/>
      <c r="U9" s="323"/>
      <c r="V9" s="323"/>
      <c r="W9" s="323"/>
      <c r="X9" s="323">
        <f t="shared" si="11"/>
        <v>530</v>
      </c>
      <c r="Y9" s="323">
        <f t="shared" si="11"/>
        <v>490</v>
      </c>
      <c r="Z9" s="323">
        <f t="shared" si="11"/>
        <v>40</v>
      </c>
      <c r="AA9" s="323"/>
      <c r="AB9" s="479"/>
      <c r="AC9" s="479"/>
      <c r="AD9" s="323"/>
      <c r="AE9" s="479"/>
      <c r="AF9" s="479"/>
      <c r="AG9" s="323"/>
      <c r="AH9" s="479"/>
      <c r="AI9" s="479"/>
      <c r="AJ9" s="323"/>
      <c r="AK9" s="323">
        <f t="shared" si="11"/>
        <v>0</v>
      </c>
      <c r="AL9" s="236"/>
    </row>
    <row r="10" spans="1:44" s="7" customFormat="1" ht="48" customHeight="1">
      <c r="A10" s="6" t="s">
        <v>16</v>
      </c>
      <c r="B10" s="658" t="s">
        <v>17</v>
      </c>
      <c r="C10" s="658"/>
      <c r="D10" s="519"/>
      <c r="E10" s="239"/>
      <c r="F10" s="128" t="s">
        <v>19</v>
      </c>
      <c r="G10" s="444">
        <f t="shared" ref="G10:G11" si="12">H10+I10</f>
        <v>9796</v>
      </c>
      <c r="H10" s="444">
        <f>SUM(H11:H11)</f>
        <v>9020</v>
      </c>
      <c r="I10" s="444">
        <f>SUM(I11:I11)</f>
        <v>776</v>
      </c>
      <c r="J10" s="444">
        <f t="shared" ref="J10:S10" si="13">SUM(J11:J11)</f>
        <v>0</v>
      </c>
      <c r="K10" s="444">
        <f t="shared" si="13"/>
        <v>0</v>
      </c>
      <c r="L10" s="444">
        <f t="shared" si="13"/>
        <v>0</v>
      </c>
      <c r="M10" s="444">
        <f t="shared" si="13"/>
        <v>0</v>
      </c>
      <c r="N10" s="444">
        <f t="shared" si="13"/>
        <v>104</v>
      </c>
      <c r="O10" s="444">
        <f t="shared" si="13"/>
        <v>0</v>
      </c>
      <c r="P10" s="444">
        <f t="shared" si="13"/>
        <v>104</v>
      </c>
      <c r="Q10" s="444">
        <f t="shared" si="13"/>
        <v>9900</v>
      </c>
      <c r="R10" s="444">
        <f t="shared" si="13"/>
        <v>9020</v>
      </c>
      <c r="S10" s="444">
        <f t="shared" si="13"/>
        <v>880</v>
      </c>
      <c r="T10" s="444"/>
      <c r="U10" s="444"/>
      <c r="V10" s="444"/>
      <c r="W10" s="444"/>
      <c r="X10" s="444">
        <f>SUM(X11:X11)</f>
        <v>530</v>
      </c>
      <c r="Y10" s="444">
        <f>SUM(Y11:Y11)</f>
        <v>490</v>
      </c>
      <c r="Z10" s="444">
        <f>SUM(Z11:Z11)</f>
        <v>40</v>
      </c>
      <c r="AA10" s="444"/>
      <c r="AB10" s="480"/>
      <c r="AC10" s="480"/>
      <c r="AD10" s="444"/>
      <c r="AE10" s="480"/>
      <c r="AF10" s="480"/>
      <c r="AG10" s="444"/>
      <c r="AH10" s="480"/>
      <c r="AI10" s="480"/>
      <c r="AJ10" s="444"/>
      <c r="AK10" s="444">
        <f>SUM(AK11:AK11)</f>
        <v>0</v>
      </c>
      <c r="AL10" s="239"/>
      <c r="AM10" s="366"/>
      <c r="AN10" s="366"/>
      <c r="AO10" s="366"/>
    </row>
    <row r="11" spans="1:44" ht="45" customHeight="1">
      <c r="A11" s="8">
        <v>1</v>
      </c>
      <c r="B11" s="241" t="s">
        <v>23</v>
      </c>
      <c r="C11" s="241"/>
      <c r="D11" s="241"/>
      <c r="E11" s="241"/>
      <c r="F11" s="9" t="s">
        <v>19</v>
      </c>
      <c r="G11" s="445">
        <f t="shared" si="12"/>
        <v>9796</v>
      </c>
      <c r="H11" s="445">
        <v>9020</v>
      </c>
      <c r="I11" s="445">
        <v>776</v>
      </c>
      <c r="J11" s="445"/>
      <c r="K11" s="481"/>
      <c r="L11" s="445"/>
      <c r="M11" s="445"/>
      <c r="N11" s="481">
        <f>+O11+P11</f>
        <v>104</v>
      </c>
      <c r="O11" s="445"/>
      <c r="P11" s="445">
        <v>104</v>
      </c>
      <c r="Q11" s="501">
        <f>+R11+S11</f>
        <v>9900</v>
      </c>
      <c r="R11" s="445">
        <f>+H11+O11</f>
        <v>9020</v>
      </c>
      <c r="S11" s="445">
        <f>+I11+P11</f>
        <v>880</v>
      </c>
      <c r="T11" s="445"/>
      <c r="U11" s="445"/>
      <c r="V11" s="445"/>
      <c r="W11" s="445"/>
      <c r="X11" s="445">
        <f t="shared" ref="X11" si="14">Y11+Z11</f>
        <v>530</v>
      </c>
      <c r="Y11" s="445">
        <v>490</v>
      </c>
      <c r="Z11" s="445">
        <v>40</v>
      </c>
      <c r="AA11" s="445"/>
      <c r="AB11" s="481"/>
      <c r="AC11" s="481"/>
      <c r="AD11" s="445"/>
      <c r="AE11" s="481"/>
      <c r="AF11" s="481"/>
      <c r="AG11" s="445"/>
      <c r="AH11" s="481"/>
      <c r="AI11" s="481"/>
      <c r="AJ11" s="445"/>
      <c r="AK11" s="445"/>
      <c r="AL11" s="241"/>
    </row>
    <row r="12" spans="1:44" ht="81" customHeight="1">
      <c r="A12" s="520" t="s">
        <v>34</v>
      </c>
      <c r="B12" s="239" t="s">
        <v>45</v>
      </c>
      <c r="C12" s="12"/>
      <c r="D12" s="12"/>
      <c r="E12" s="12"/>
      <c r="F12" s="12"/>
      <c r="G12" s="323">
        <f>+G13</f>
        <v>154893.96</v>
      </c>
      <c r="H12" s="323">
        <f t="shared" ref="H12:AK12" si="15">+H13</f>
        <v>147517.94999999995</v>
      </c>
      <c r="I12" s="323">
        <f t="shared" si="15"/>
        <v>7376.0099999999984</v>
      </c>
      <c r="J12" s="323">
        <f t="shared" si="15"/>
        <v>0</v>
      </c>
      <c r="K12" s="479"/>
      <c r="L12" s="323"/>
      <c r="M12" s="323"/>
      <c r="N12" s="479"/>
      <c r="O12" s="323"/>
      <c r="P12" s="323"/>
      <c r="Q12" s="539"/>
      <c r="R12" s="323"/>
      <c r="S12" s="323"/>
      <c r="T12" s="323"/>
      <c r="U12" s="323"/>
      <c r="V12" s="323"/>
      <c r="W12" s="323"/>
      <c r="X12" s="323">
        <f t="shared" si="15"/>
        <v>27882</v>
      </c>
      <c r="Y12" s="323">
        <f t="shared" si="15"/>
        <v>26553.999999999996</v>
      </c>
      <c r="Z12" s="323">
        <f t="shared" si="15"/>
        <v>1328</v>
      </c>
      <c r="AA12" s="323"/>
      <c r="AB12" s="479"/>
      <c r="AC12" s="479"/>
      <c r="AD12" s="323"/>
      <c r="AE12" s="479"/>
      <c r="AF12" s="479"/>
      <c r="AG12" s="323"/>
      <c r="AH12" s="479"/>
      <c r="AI12" s="479"/>
      <c r="AJ12" s="323"/>
      <c r="AK12" s="323">
        <f t="shared" si="15"/>
        <v>190</v>
      </c>
      <c r="AL12" s="12"/>
      <c r="AM12" s="659"/>
      <c r="AN12" s="659"/>
      <c r="AO12" s="659"/>
      <c r="AP12" s="659"/>
      <c r="AQ12" s="659"/>
      <c r="AR12" s="659"/>
    </row>
    <row r="13" spans="1:44" s="7" customFormat="1" ht="94.5" customHeight="1">
      <c r="A13" s="6" t="s">
        <v>985</v>
      </c>
      <c r="B13" s="519" t="s">
        <v>1007</v>
      </c>
      <c r="C13" s="128"/>
      <c r="D13" s="128"/>
      <c r="E13" s="128"/>
      <c r="F13" s="128"/>
      <c r="G13" s="475">
        <f>G14+G30+G45+G55+G68+G83+G104+G119+G151+G135+G162+G180+G197+G217+G222+G237+G251</f>
        <v>154893.96</v>
      </c>
      <c r="H13" s="475">
        <f>H14+H30+H45+H55+H68+H83+H104+H119+H151+H135+H162+H180+H197+H217+H222+H237+H251</f>
        <v>147517.94999999995</v>
      </c>
      <c r="I13" s="475">
        <f>I14+I30+I45+I55+I68+I83+I104+I119+I151+I135+I162+I180+I197+I217+I222+I237+I251</f>
        <v>7376.0099999999984</v>
      </c>
      <c r="J13" s="475">
        <f t="shared" ref="J13:T13" si="16">J14+J30+J45+J55+J68+J83+J104+J119+J151+J135+J162+J180+J197+J217+J222+J237+J251</f>
        <v>0</v>
      </c>
      <c r="K13" s="475">
        <f t="shared" si="16"/>
        <v>15402.399299999997</v>
      </c>
      <c r="L13" s="475">
        <f t="shared" si="16"/>
        <v>14732.520000000004</v>
      </c>
      <c r="M13" s="475">
        <f t="shared" si="16"/>
        <v>669.87929999999994</v>
      </c>
      <c r="N13" s="475">
        <f t="shared" si="16"/>
        <v>15402.399299999997</v>
      </c>
      <c r="O13" s="475">
        <f t="shared" si="16"/>
        <v>14745.32</v>
      </c>
      <c r="P13" s="475">
        <f t="shared" si="16"/>
        <v>657.07929999999988</v>
      </c>
      <c r="Q13" s="475">
        <f t="shared" si="16"/>
        <v>154893.96</v>
      </c>
      <c r="R13" s="475">
        <f t="shared" si="16"/>
        <v>147517.94999999995</v>
      </c>
      <c r="S13" s="475">
        <f t="shared" si="16"/>
        <v>7376.0099999999984</v>
      </c>
      <c r="T13" s="475">
        <f t="shared" si="16"/>
        <v>0</v>
      </c>
      <c r="U13" s="474">
        <f t="shared" ref="U13:AI13" si="17">U14+U30+U45+U55+U68+U83+U104+U119+U151+U135+U162+U180+U197+U217+U222+U237+U251</f>
        <v>103423.94999999998</v>
      </c>
      <c r="V13" s="474">
        <f t="shared" si="17"/>
        <v>98084.000000000015</v>
      </c>
      <c r="W13" s="474">
        <f t="shared" si="17"/>
        <v>5339.95</v>
      </c>
      <c r="X13" s="323">
        <f t="shared" si="17"/>
        <v>27882</v>
      </c>
      <c r="Y13" s="323">
        <f t="shared" si="17"/>
        <v>26553.999999999996</v>
      </c>
      <c r="Z13" s="323">
        <f t="shared" si="17"/>
        <v>1328</v>
      </c>
      <c r="AA13" s="323">
        <f t="shared" si="17"/>
        <v>37517</v>
      </c>
      <c r="AB13" s="479">
        <f t="shared" si="17"/>
        <v>35595</v>
      </c>
      <c r="AC13" s="479">
        <f t="shared" si="17"/>
        <v>1922</v>
      </c>
      <c r="AD13" s="323">
        <f t="shared" si="17"/>
        <v>36402.049999999996</v>
      </c>
      <c r="AE13" s="479">
        <f t="shared" si="17"/>
        <v>34401.299999999996</v>
      </c>
      <c r="AF13" s="479">
        <f t="shared" si="17"/>
        <v>2000.75</v>
      </c>
      <c r="AG13" s="323">
        <f t="shared" si="17"/>
        <v>51468.255899999996</v>
      </c>
      <c r="AH13" s="479">
        <f t="shared" si="17"/>
        <v>49433.95</v>
      </c>
      <c r="AI13" s="479">
        <f t="shared" si="17"/>
        <v>2034.3059000000001</v>
      </c>
      <c r="AJ13" s="323"/>
      <c r="AK13" s="323">
        <f>AK14+AK30+AK45+AK55+AK68+AK83+AK104+AK119+AK151+AK135+AK162+AK180+AK197+AK217+AK222+AK237+AK251</f>
        <v>190</v>
      </c>
      <c r="AL13" s="12"/>
      <c r="AM13" s="367"/>
      <c r="AN13" s="367"/>
      <c r="AO13" s="367"/>
      <c r="AP13" s="13"/>
      <c r="AQ13" s="13"/>
      <c r="AR13" s="13"/>
    </row>
    <row r="14" spans="1:44" s="14" customFormat="1" ht="23.25" customHeight="1">
      <c r="A14" s="4" t="s">
        <v>987</v>
      </c>
      <c r="B14" s="507" t="s">
        <v>61</v>
      </c>
      <c r="C14" s="16"/>
      <c r="D14" s="16"/>
      <c r="E14" s="16"/>
      <c r="F14" s="16"/>
      <c r="G14" s="472">
        <f t="shared" ref="G14:T14" si="18">SUM(G15:G29)</f>
        <v>4512.96</v>
      </c>
      <c r="H14" s="472">
        <f t="shared" si="18"/>
        <v>4298</v>
      </c>
      <c r="I14" s="472">
        <f t="shared" si="18"/>
        <v>214.96000000000004</v>
      </c>
      <c r="J14" s="472">
        <f t="shared" si="18"/>
        <v>0</v>
      </c>
      <c r="K14" s="527">
        <f t="shared" si="18"/>
        <v>678.44690000000003</v>
      </c>
      <c r="L14" s="528">
        <f t="shared" si="18"/>
        <v>657.27689999999996</v>
      </c>
      <c r="M14" s="528">
        <f t="shared" si="18"/>
        <v>21.169999999999995</v>
      </c>
      <c r="N14" s="527">
        <f t="shared" si="18"/>
        <v>678.44689999999991</v>
      </c>
      <c r="O14" s="528">
        <f t="shared" si="18"/>
        <v>657.27689999999996</v>
      </c>
      <c r="P14" s="528">
        <f t="shared" si="18"/>
        <v>21.17</v>
      </c>
      <c r="Q14" s="540">
        <f t="shared" si="18"/>
        <v>4512.96</v>
      </c>
      <c r="R14" s="472">
        <f t="shared" si="18"/>
        <v>4298.0000000000009</v>
      </c>
      <c r="S14" s="472">
        <f t="shared" si="18"/>
        <v>214.96000000000006</v>
      </c>
      <c r="T14" s="472">
        <f t="shared" si="18"/>
        <v>0</v>
      </c>
      <c r="U14" s="446">
        <f>SUM(U15:U27)</f>
        <v>2970.8230999999996</v>
      </c>
      <c r="V14" s="446">
        <f>SUM(V15:V27)</f>
        <v>2815.2231000000002</v>
      </c>
      <c r="W14" s="446">
        <f>SUM(W15:W27)</f>
        <v>155.60000000000002</v>
      </c>
      <c r="X14" s="446">
        <f>SUM(X15:X29)</f>
        <v>812.29</v>
      </c>
      <c r="Y14" s="446">
        <f t="shared" ref="Y14:AF14" si="19">SUM(Y15:Y27)</f>
        <v>773.6</v>
      </c>
      <c r="Z14" s="446">
        <f t="shared" si="19"/>
        <v>38.69</v>
      </c>
      <c r="AA14" s="446">
        <f t="shared" si="19"/>
        <v>1050.9331000000002</v>
      </c>
      <c r="AB14" s="482">
        <f t="shared" si="19"/>
        <v>994.92309999999998</v>
      </c>
      <c r="AC14" s="482">
        <f t="shared" si="19"/>
        <v>56.010000000000005</v>
      </c>
      <c r="AD14" s="446">
        <f t="shared" si="19"/>
        <v>1107.5999999999999</v>
      </c>
      <c r="AE14" s="482">
        <f t="shared" si="19"/>
        <v>1046.6999999999998</v>
      </c>
      <c r="AF14" s="482">
        <f t="shared" si="19"/>
        <v>60.900000000000006</v>
      </c>
      <c r="AG14" s="472">
        <f>SUM(AG15:AG29)</f>
        <v>1542.1369</v>
      </c>
      <c r="AH14" s="492">
        <f>SUM(AH15:AH29)</f>
        <v>1482.7769000000001</v>
      </c>
      <c r="AI14" s="492">
        <f>SUM(AI15:AI29)</f>
        <v>59.36</v>
      </c>
      <c r="AJ14" s="446"/>
      <c r="AK14" s="446">
        <f>SUM(AK15:AK27)</f>
        <v>0</v>
      </c>
      <c r="AL14" s="322"/>
      <c r="AM14" s="368">
        <f>+'NĂM 2022'!K21+'NĂM 2023'!N22+'NĂM 2024'!J22+'NĂM 2025'!J22</f>
        <v>4512.96</v>
      </c>
      <c r="AN14" s="368">
        <f>+'NĂM 2022'!L21+'NĂM 2023'!O22+'NĂM 2024'!K22+'NĂM 2025'!K22</f>
        <v>4298</v>
      </c>
      <c r="AO14" s="368">
        <f>+'NĂM 2022'!M21+'NĂM 2023'!P22+'NĂM 2024'!L22+'NĂM 2025'!L22</f>
        <v>214.96</v>
      </c>
    </row>
    <row r="15" spans="1:44" s="146" customFormat="1" ht="60">
      <c r="A15" s="141">
        <v>1</v>
      </c>
      <c r="B15" s="325" t="s">
        <v>62</v>
      </c>
      <c r="C15" s="141" t="s">
        <v>63</v>
      </c>
      <c r="D15" s="141"/>
      <c r="E15" s="141" t="s">
        <v>64</v>
      </c>
      <c r="F15" s="141" t="s">
        <v>52</v>
      </c>
      <c r="G15" s="447">
        <f>H15+I15</f>
        <v>270.79999999999995</v>
      </c>
      <c r="H15" s="447">
        <v>257.89999999999998</v>
      </c>
      <c r="I15" s="473">
        <v>12.9</v>
      </c>
      <c r="J15" s="448"/>
      <c r="K15" s="529">
        <f>+Q15-G15</f>
        <v>0</v>
      </c>
      <c r="L15" s="530"/>
      <c r="M15" s="530"/>
      <c r="N15" s="529">
        <f>+Q15-G15</f>
        <v>0</v>
      </c>
      <c r="O15" s="530"/>
      <c r="P15" s="530"/>
      <c r="Q15" s="466">
        <f>+R15+S15</f>
        <v>270.79999999999995</v>
      </c>
      <c r="R15" s="448">
        <v>257.89999999999998</v>
      </c>
      <c r="S15" s="448">
        <v>12.9</v>
      </c>
      <c r="T15" s="448"/>
      <c r="U15" s="466">
        <f>+X15</f>
        <v>270.79999999999995</v>
      </c>
      <c r="V15" s="448">
        <f t="shared" ref="V15:W17" si="20">+Y15</f>
        <v>257.89999999999998</v>
      </c>
      <c r="W15" s="448">
        <f t="shared" si="20"/>
        <v>12.9</v>
      </c>
      <c r="X15" s="445">
        <f t="shared" ref="X15:X87" si="21">Y15+Z15</f>
        <v>270.79999999999995</v>
      </c>
      <c r="Y15" s="447">
        <v>257.89999999999998</v>
      </c>
      <c r="Z15" s="447">
        <v>12.9</v>
      </c>
      <c r="AA15" s="447"/>
      <c r="AB15" s="481"/>
      <c r="AC15" s="481"/>
      <c r="AD15" s="447"/>
      <c r="AE15" s="481"/>
      <c r="AF15" s="481"/>
      <c r="AG15" s="447"/>
      <c r="AH15" s="481"/>
      <c r="AI15" s="481"/>
      <c r="AJ15" s="447"/>
      <c r="AK15" s="448"/>
      <c r="AL15" s="145"/>
      <c r="AM15" s="471">
        <f>+G14-U14</f>
        <v>1542.1369000000004</v>
      </c>
      <c r="AN15" s="471">
        <f>+H14-V14</f>
        <v>1482.7768999999998</v>
      </c>
      <c r="AO15" s="471">
        <f>+I14-W14</f>
        <v>59.360000000000014</v>
      </c>
    </row>
    <row r="16" spans="1:44" s="146" customFormat="1" ht="45">
      <c r="A16" s="141">
        <f>+A15+1</f>
        <v>2</v>
      </c>
      <c r="B16" s="325" t="s">
        <v>65</v>
      </c>
      <c r="C16" s="141" t="s">
        <v>66</v>
      </c>
      <c r="D16" s="141"/>
      <c r="E16" s="141" t="s">
        <v>67</v>
      </c>
      <c r="F16" s="141" t="s">
        <v>52</v>
      </c>
      <c r="G16" s="447">
        <f>H16+I16</f>
        <v>270.74</v>
      </c>
      <c r="H16" s="447">
        <v>257.85000000000002</v>
      </c>
      <c r="I16" s="473">
        <v>12.89</v>
      </c>
      <c r="J16" s="448"/>
      <c r="K16" s="529">
        <f t="shared" ref="K16:K17" si="22">+Q16-G16</f>
        <v>0</v>
      </c>
      <c r="L16" s="530"/>
      <c r="M16" s="530"/>
      <c r="N16" s="529">
        <f t="shared" ref="N16:N17" si="23">+Q16-G16</f>
        <v>0</v>
      </c>
      <c r="O16" s="530"/>
      <c r="P16" s="530"/>
      <c r="Q16" s="466">
        <f t="shared" ref="Q16:Q22" si="24">+R16+S16</f>
        <v>270.74</v>
      </c>
      <c r="R16" s="448">
        <v>257.85000000000002</v>
      </c>
      <c r="S16" s="448">
        <v>12.89</v>
      </c>
      <c r="T16" s="448"/>
      <c r="U16" s="466">
        <f t="shared" ref="U16:U17" si="25">+X16</f>
        <v>270.74</v>
      </c>
      <c r="V16" s="448">
        <f t="shared" si="20"/>
        <v>257.85000000000002</v>
      </c>
      <c r="W16" s="448">
        <f t="shared" si="20"/>
        <v>12.89</v>
      </c>
      <c r="X16" s="445">
        <f t="shared" si="21"/>
        <v>270.74</v>
      </c>
      <c r="Y16" s="447">
        <v>257.85000000000002</v>
      </c>
      <c r="Z16" s="447">
        <v>12.89</v>
      </c>
      <c r="AA16" s="447"/>
      <c r="AB16" s="481"/>
      <c r="AC16" s="481"/>
      <c r="AD16" s="447"/>
      <c r="AE16" s="481"/>
      <c r="AF16" s="481"/>
      <c r="AG16" s="447"/>
      <c r="AH16" s="481"/>
      <c r="AI16" s="481"/>
      <c r="AJ16" s="447"/>
      <c r="AK16" s="448"/>
      <c r="AL16" s="145"/>
      <c r="AM16" s="471">
        <f>+AM15-AG14</f>
        <v>0</v>
      </c>
      <c r="AN16" s="471">
        <f t="shared" ref="AN16:AO16" si="26">+AN15-AH14</f>
        <v>0</v>
      </c>
      <c r="AO16" s="471">
        <f t="shared" si="26"/>
        <v>0</v>
      </c>
    </row>
    <row r="17" spans="1:41" s="146" customFormat="1" ht="75">
      <c r="A17" s="141">
        <f t="shared" ref="A17:A29" si="27">+A16+1</f>
        <v>3</v>
      </c>
      <c r="B17" s="325" t="s">
        <v>68</v>
      </c>
      <c r="C17" s="141" t="s">
        <v>69</v>
      </c>
      <c r="D17" s="141"/>
      <c r="E17" s="141" t="s">
        <v>70</v>
      </c>
      <c r="F17" s="141" t="s">
        <v>52</v>
      </c>
      <c r="G17" s="447">
        <f>H17+I17</f>
        <v>270.75</v>
      </c>
      <c r="H17" s="447">
        <v>257.85000000000002</v>
      </c>
      <c r="I17" s="473">
        <v>12.9</v>
      </c>
      <c r="J17" s="448"/>
      <c r="K17" s="529">
        <f t="shared" si="22"/>
        <v>0</v>
      </c>
      <c r="L17" s="530"/>
      <c r="M17" s="530"/>
      <c r="N17" s="529">
        <f t="shared" si="23"/>
        <v>0</v>
      </c>
      <c r="O17" s="530"/>
      <c r="P17" s="530"/>
      <c r="Q17" s="466">
        <f t="shared" si="24"/>
        <v>270.75</v>
      </c>
      <c r="R17" s="448">
        <v>257.85000000000002</v>
      </c>
      <c r="S17" s="448">
        <v>12.9</v>
      </c>
      <c r="T17" s="448"/>
      <c r="U17" s="466">
        <f t="shared" si="25"/>
        <v>270.75</v>
      </c>
      <c r="V17" s="448">
        <f t="shared" si="20"/>
        <v>257.85000000000002</v>
      </c>
      <c r="W17" s="448">
        <f t="shared" si="20"/>
        <v>12.9</v>
      </c>
      <c r="X17" s="445">
        <f t="shared" si="21"/>
        <v>270.75</v>
      </c>
      <c r="Y17" s="447">
        <v>257.85000000000002</v>
      </c>
      <c r="Z17" s="447">
        <v>12.9</v>
      </c>
      <c r="AA17" s="447"/>
      <c r="AB17" s="481"/>
      <c r="AC17" s="481"/>
      <c r="AD17" s="447"/>
      <c r="AE17" s="481"/>
      <c r="AF17" s="481"/>
      <c r="AG17" s="447"/>
      <c r="AH17" s="481"/>
      <c r="AI17" s="481"/>
      <c r="AJ17" s="447"/>
      <c r="AK17" s="448"/>
      <c r="AL17" s="145"/>
      <c r="AM17" s="369"/>
      <c r="AN17" s="369"/>
      <c r="AO17" s="369"/>
    </row>
    <row r="18" spans="1:41" s="146" customFormat="1" ht="60">
      <c r="A18" s="141">
        <f t="shared" si="27"/>
        <v>4</v>
      </c>
      <c r="B18" s="325" t="s">
        <v>71</v>
      </c>
      <c r="C18" s="141" t="s">
        <v>63</v>
      </c>
      <c r="D18" s="141"/>
      <c r="E18" s="141" t="s">
        <v>72</v>
      </c>
      <c r="F18" s="141" t="s">
        <v>53</v>
      </c>
      <c r="G18" s="447">
        <f t="shared" ref="G18:G87" si="28">H18+I18</f>
        <v>525.04999999999995</v>
      </c>
      <c r="H18" s="447">
        <v>500</v>
      </c>
      <c r="I18" s="473">
        <v>25.05</v>
      </c>
      <c r="J18" s="448"/>
      <c r="K18" s="529">
        <f>+L18+M18</f>
        <v>161.84699999999998</v>
      </c>
      <c r="L18" s="530">
        <f>+H18-R18</f>
        <v>155.46699999999998</v>
      </c>
      <c r="M18" s="530">
        <f>+I18-S18</f>
        <v>6.379999999999999</v>
      </c>
      <c r="N18" s="529"/>
      <c r="O18" s="530"/>
      <c r="P18" s="530"/>
      <c r="Q18" s="466">
        <f t="shared" si="24"/>
        <v>363.20300000000003</v>
      </c>
      <c r="R18" s="448">
        <v>344.53300000000002</v>
      </c>
      <c r="S18" s="448">
        <v>18.670000000000002</v>
      </c>
      <c r="T18" s="533"/>
      <c r="U18" s="448">
        <f>+AA18+AD18</f>
        <v>363.20300000000003</v>
      </c>
      <c r="V18" s="448">
        <f t="shared" ref="V18:W27" si="29">+AB18+AE18</f>
        <v>344.53300000000002</v>
      </c>
      <c r="W18" s="448">
        <f t="shared" si="29"/>
        <v>18.670000000000002</v>
      </c>
      <c r="X18" s="445">
        <f t="shared" si="21"/>
        <v>0</v>
      </c>
      <c r="Y18" s="448"/>
      <c r="Z18" s="448"/>
      <c r="AA18" s="448">
        <f>+AB18+AC18</f>
        <v>363.20300000000003</v>
      </c>
      <c r="AB18" s="483">
        <f>345.67-1.137</f>
        <v>344.53300000000002</v>
      </c>
      <c r="AC18" s="483">
        <v>18.670000000000002</v>
      </c>
      <c r="AD18" s="448"/>
      <c r="AE18" s="483"/>
      <c r="AF18" s="483"/>
      <c r="AG18" s="448"/>
      <c r="AH18" s="483"/>
      <c r="AI18" s="483"/>
      <c r="AJ18" s="448"/>
      <c r="AK18" s="448"/>
      <c r="AL18" s="145"/>
      <c r="AM18" s="369"/>
      <c r="AN18" s="369"/>
      <c r="AO18" s="369"/>
    </row>
    <row r="19" spans="1:41" s="146" customFormat="1" ht="45">
      <c r="A19" s="141">
        <f t="shared" si="27"/>
        <v>5</v>
      </c>
      <c r="B19" s="325" t="s">
        <v>65</v>
      </c>
      <c r="C19" s="141" t="s">
        <v>66</v>
      </c>
      <c r="D19" s="141"/>
      <c r="E19" s="141" t="s">
        <v>73</v>
      </c>
      <c r="F19" s="141" t="s">
        <v>53</v>
      </c>
      <c r="G19" s="447">
        <f t="shared" si="28"/>
        <v>472.5</v>
      </c>
      <c r="H19" s="447">
        <v>450</v>
      </c>
      <c r="I19" s="473">
        <v>22.5</v>
      </c>
      <c r="J19" s="448"/>
      <c r="K19" s="529">
        <f t="shared" ref="K19:K22" si="30">+L19+M19</f>
        <v>149.11989999999997</v>
      </c>
      <c r="L19" s="530">
        <f t="shared" ref="L19:M22" si="31">+H19-R19</f>
        <v>145.28989999999999</v>
      </c>
      <c r="M19" s="530">
        <f t="shared" si="31"/>
        <v>3.8299999999999983</v>
      </c>
      <c r="N19" s="529"/>
      <c r="O19" s="530"/>
      <c r="P19" s="530"/>
      <c r="Q19" s="466">
        <f t="shared" si="24"/>
        <v>323.38010000000003</v>
      </c>
      <c r="R19" s="448">
        <v>304.71010000000001</v>
      </c>
      <c r="S19" s="448">
        <v>18.670000000000002</v>
      </c>
      <c r="T19" s="533"/>
      <c r="U19" s="448">
        <f t="shared" ref="U19:U27" si="32">+AA19+AD19</f>
        <v>323.38010000000003</v>
      </c>
      <c r="V19" s="448">
        <f t="shared" si="29"/>
        <v>304.71010000000001</v>
      </c>
      <c r="W19" s="448">
        <f t="shared" si="29"/>
        <v>18.670000000000002</v>
      </c>
      <c r="X19" s="445">
        <f t="shared" si="21"/>
        <v>0</v>
      </c>
      <c r="Y19" s="448"/>
      <c r="Z19" s="448"/>
      <c r="AA19" s="448">
        <f>+AB19+AC19</f>
        <v>323.38010000000003</v>
      </c>
      <c r="AB19" s="483">
        <f>345.68-40.9699</f>
        <v>304.71010000000001</v>
      </c>
      <c r="AC19" s="483">
        <v>18.670000000000002</v>
      </c>
      <c r="AD19" s="448"/>
      <c r="AE19" s="483"/>
      <c r="AF19" s="483"/>
      <c r="AG19" s="448"/>
      <c r="AH19" s="483"/>
      <c r="AI19" s="483"/>
      <c r="AJ19" s="448"/>
      <c r="AK19" s="448"/>
      <c r="AL19" s="145"/>
      <c r="AM19" s="369"/>
      <c r="AN19" s="369"/>
      <c r="AO19" s="369"/>
    </row>
    <row r="20" spans="1:41" s="146" customFormat="1" ht="75">
      <c r="A20" s="141">
        <f t="shared" si="27"/>
        <v>6</v>
      </c>
      <c r="B20" s="325" t="s">
        <v>74</v>
      </c>
      <c r="C20" s="141" t="s">
        <v>69</v>
      </c>
      <c r="D20" s="141"/>
      <c r="E20" s="141" t="s">
        <v>75</v>
      </c>
      <c r="F20" s="141" t="s">
        <v>53</v>
      </c>
      <c r="G20" s="447">
        <f t="shared" si="28"/>
        <v>525</v>
      </c>
      <c r="H20" s="447">
        <v>500</v>
      </c>
      <c r="I20" s="473">
        <v>25</v>
      </c>
      <c r="J20" s="448"/>
      <c r="K20" s="529">
        <f t="shared" si="30"/>
        <v>160.64999999999998</v>
      </c>
      <c r="L20" s="530">
        <f t="shared" si="31"/>
        <v>154.32</v>
      </c>
      <c r="M20" s="530">
        <f t="shared" si="31"/>
        <v>6.3299999999999983</v>
      </c>
      <c r="N20" s="529"/>
      <c r="O20" s="530"/>
      <c r="P20" s="530"/>
      <c r="Q20" s="466">
        <f t="shared" si="24"/>
        <v>364.35</v>
      </c>
      <c r="R20" s="448">
        <v>345.68</v>
      </c>
      <c r="S20" s="448">
        <v>18.670000000000002</v>
      </c>
      <c r="T20" s="533"/>
      <c r="U20" s="448">
        <f t="shared" si="32"/>
        <v>364.35</v>
      </c>
      <c r="V20" s="448">
        <f t="shared" si="29"/>
        <v>345.68</v>
      </c>
      <c r="W20" s="448">
        <f t="shared" si="29"/>
        <v>18.670000000000002</v>
      </c>
      <c r="X20" s="445">
        <f t="shared" si="21"/>
        <v>0</v>
      </c>
      <c r="Y20" s="448"/>
      <c r="Z20" s="448"/>
      <c r="AA20" s="448">
        <f>+AB20+AC20</f>
        <v>364.35</v>
      </c>
      <c r="AB20" s="483">
        <v>345.68</v>
      </c>
      <c r="AC20" s="483">
        <v>18.670000000000002</v>
      </c>
      <c r="AD20" s="448"/>
      <c r="AE20" s="483"/>
      <c r="AF20" s="483"/>
      <c r="AG20" s="448"/>
      <c r="AH20" s="483"/>
      <c r="AI20" s="483"/>
      <c r="AJ20" s="448"/>
      <c r="AK20" s="448"/>
      <c r="AL20" s="145"/>
      <c r="AM20" s="369"/>
      <c r="AN20" s="369"/>
      <c r="AO20" s="369"/>
    </row>
    <row r="21" spans="1:41" s="146" customFormat="1" ht="45">
      <c r="A21" s="141">
        <f t="shared" si="27"/>
        <v>7</v>
      </c>
      <c r="B21" s="325" t="s">
        <v>76</v>
      </c>
      <c r="C21" s="141" t="s">
        <v>63</v>
      </c>
      <c r="D21" s="141"/>
      <c r="E21" s="150" t="s">
        <v>77</v>
      </c>
      <c r="F21" s="141" t="s">
        <v>78</v>
      </c>
      <c r="G21" s="447">
        <f t="shared" si="28"/>
        <v>472.5</v>
      </c>
      <c r="H21" s="447">
        <v>450</v>
      </c>
      <c r="I21" s="473">
        <v>22.5</v>
      </c>
      <c r="J21" s="448"/>
      <c r="K21" s="529">
        <f t="shared" si="30"/>
        <v>103.30000000000003</v>
      </c>
      <c r="L21" s="530">
        <f t="shared" si="31"/>
        <v>101.10000000000002</v>
      </c>
      <c r="M21" s="530">
        <f t="shared" si="31"/>
        <v>2.1999999999999993</v>
      </c>
      <c r="N21" s="529"/>
      <c r="O21" s="530"/>
      <c r="P21" s="530"/>
      <c r="Q21" s="466">
        <f t="shared" si="24"/>
        <v>369.2</v>
      </c>
      <c r="R21" s="448">
        <v>348.9</v>
      </c>
      <c r="S21" s="448">
        <v>20.3</v>
      </c>
      <c r="T21" s="533"/>
      <c r="U21" s="448">
        <f t="shared" si="32"/>
        <v>369.2</v>
      </c>
      <c r="V21" s="448">
        <f t="shared" si="29"/>
        <v>348.9</v>
      </c>
      <c r="W21" s="448">
        <f t="shared" si="29"/>
        <v>20.3</v>
      </c>
      <c r="X21" s="445">
        <f t="shared" si="21"/>
        <v>0</v>
      </c>
      <c r="Y21" s="448"/>
      <c r="Z21" s="448"/>
      <c r="AA21" s="448"/>
      <c r="AB21" s="483"/>
      <c r="AC21" s="483"/>
      <c r="AD21" s="448">
        <f>+AE21+AF21</f>
        <v>369.2</v>
      </c>
      <c r="AE21" s="483">
        <v>348.9</v>
      </c>
      <c r="AF21" s="483">
        <v>20.3</v>
      </c>
      <c r="AG21" s="448"/>
      <c r="AH21" s="483"/>
      <c r="AI21" s="483"/>
      <c r="AJ21" s="448"/>
      <c r="AK21" s="448"/>
      <c r="AL21" s="145"/>
      <c r="AM21" s="369"/>
      <c r="AN21" s="369"/>
      <c r="AO21" s="369"/>
    </row>
    <row r="22" spans="1:41" s="146" customFormat="1" ht="75">
      <c r="A22" s="141">
        <f t="shared" si="27"/>
        <v>8</v>
      </c>
      <c r="B22" s="325" t="s">
        <v>79</v>
      </c>
      <c r="C22" s="141" t="s">
        <v>66</v>
      </c>
      <c r="D22" s="141"/>
      <c r="E22" s="141" t="s">
        <v>80</v>
      </c>
      <c r="F22" s="141" t="s">
        <v>54</v>
      </c>
      <c r="G22" s="447">
        <f t="shared" si="28"/>
        <v>472.5</v>
      </c>
      <c r="H22" s="447">
        <v>450</v>
      </c>
      <c r="I22" s="473">
        <v>22.5</v>
      </c>
      <c r="J22" s="448">
        <v>0</v>
      </c>
      <c r="K22" s="529">
        <f t="shared" si="30"/>
        <v>103.30000000000003</v>
      </c>
      <c r="L22" s="530">
        <f t="shared" si="31"/>
        <v>101.10000000000002</v>
      </c>
      <c r="M22" s="530">
        <f t="shared" si="31"/>
        <v>2.1999999999999993</v>
      </c>
      <c r="N22" s="529"/>
      <c r="O22" s="530"/>
      <c r="P22" s="530"/>
      <c r="Q22" s="466">
        <f t="shared" si="24"/>
        <v>369.2</v>
      </c>
      <c r="R22" s="448">
        <v>348.9</v>
      </c>
      <c r="S22" s="448">
        <v>20.3</v>
      </c>
      <c r="T22" s="533"/>
      <c r="U22" s="448">
        <f t="shared" si="32"/>
        <v>369.2</v>
      </c>
      <c r="V22" s="448">
        <f t="shared" si="29"/>
        <v>348.9</v>
      </c>
      <c r="W22" s="448">
        <f t="shared" si="29"/>
        <v>20.3</v>
      </c>
      <c r="X22" s="445">
        <f t="shared" si="21"/>
        <v>0</v>
      </c>
      <c r="Y22" s="448"/>
      <c r="Z22" s="448"/>
      <c r="AA22" s="448"/>
      <c r="AB22" s="483"/>
      <c r="AC22" s="483"/>
      <c r="AD22" s="448">
        <f>+AE22+AF22</f>
        <v>369.2</v>
      </c>
      <c r="AE22" s="483">
        <v>348.9</v>
      </c>
      <c r="AF22" s="483">
        <v>20.3</v>
      </c>
      <c r="AG22" s="448"/>
      <c r="AH22" s="483"/>
      <c r="AI22" s="483"/>
      <c r="AJ22" s="448"/>
      <c r="AK22" s="448"/>
      <c r="AL22" s="145"/>
      <c r="AM22" s="369">
        <f>+G14-U14</f>
        <v>1542.1369000000004</v>
      </c>
      <c r="AN22" s="369"/>
      <c r="AO22" s="369"/>
    </row>
    <row r="23" spans="1:41" s="146" customFormat="1" ht="60">
      <c r="A23" s="141">
        <f t="shared" si="27"/>
        <v>9</v>
      </c>
      <c r="B23" s="325" t="s">
        <v>1104</v>
      </c>
      <c r="C23" s="141" t="s">
        <v>69</v>
      </c>
      <c r="D23" s="141"/>
      <c r="E23" s="141" t="s">
        <v>89</v>
      </c>
      <c r="F23" s="141" t="s">
        <v>55</v>
      </c>
      <c r="G23" s="447">
        <f>H23+I23</f>
        <v>288.54000000000002</v>
      </c>
      <c r="H23" s="447">
        <v>274.8</v>
      </c>
      <c r="I23" s="473">
        <v>13.74</v>
      </c>
      <c r="J23" s="448"/>
      <c r="K23" s="483"/>
      <c r="L23" s="448"/>
      <c r="M23" s="448"/>
      <c r="N23" s="529">
        <f>+O23+P23</f>
        <v>80.659999999999968</v>
      </c>
      <c r="O23" s="530">
        <f>+R23-H23</f>
        <v>74.099999999999966</v>
      </c>
      <c r="P23" s="530">
        <f>+S23-I23</f>
        <v>6.5600000000000005</v>
      </c>
      <c r="Q23" s="466">
        <f t="shared" ref="Q23:Q29" si="33">+R23+S23</f>
        <v>369.2</v>
      </c>
      <c r="R23" s="448">
        <v>348.9</v>
      </c>
      <c r="S23" s="448">
        <v>20.3</v>
      </c>
      <c r="T23" s="533"/>
      <c r="U23" s="448">
        <f>+AA23+AD23</f>
        <v>369.2</v>
      </c>
      <c r="V23" s="448">
        <f>+AB23+AE23</f>
        <v>348.9</v>
      </c>
      <c r="W23" s="448">
        <f>+AC23+AF23</f>
        <v>20.3</v>
      </c>
      <c r="X23" s="445">
        <f>Y23+Z23</f>
        <v>0</v>
      </c>
      <c r="Y23" s="448"/>
      <c r="Z23" s="448"/>
      <c r="AA23" s="448"/>
      <c r="AB23" s="483"/>
      <c r="AC23" s="483"/>
      <c r="AD23" s="448">
        <f>+AE23+AF23</f>
        <v>369.2</v>
      </c>
      <c r="AE23" s="483">
        <v>348.9</v>
      </c>
      <c r="AF23" s="483">
        <v>20.3</v>
      </c>
      <c r="AG23" s="448"/>
      <c r="AH23" s="483"/>
      <c r="AI23" s="483"/>
      <c r="AJ23" s="448"/>
      <c r="AK23" s="448"/>
      <c r="AL23" s="145"/>
      <c r="AM23" s="465">
        <f>+AG14-AM22</f>
        <v>0</v>
      </c>
      <c r="AN23" s="369"/>
      <c r="AO23" s="369"/>
    </row>
    <row r="24" spans="1:41" s="146" customFormat="1" ht="45">
      <c r="A24" s="141">
        <f t="shared" si="27"/>
        <v>10</v>
      </c>
      <c r="B24" s="325" t="s">
        <v>82</v>
      </c>
      <c r="C24" s="141" t="s">
        <v>63</v>
      </c>
      <c r="D24" s="141"/>
      <c r="E24" s="141" t="s">
        <v>83</v>
      </c>
      <c r="F24" s="141" t="s">
        <v>55</v>
      </c>
      <c r="G24" s="447">
        <f t="shared" si="28"/>
        <v>105</v>
      </c>
      <c r="H24" s="447">
        <v>100</v>
      </c>
      <c r="I24" s="473">
        <v>5</v>
      </c>
      <c r="J24" s="448"/>
      <c r="K24" s="483"/>
      <c r="L24" s="448"/>
      <c r="M24" s="448"/>
      <c r="N24" s="529">
        <f>+O24+P24</f>
        <v>1.1370000000000005</v>
      </c>
      <c r="O24" s="530">
        <f>+R24-H24</f>
        <v>1.1370000000000005</v>
      </c>
      <c r="P24" s="530"/>
      <c r="Q24" s="466">
        <f t="shared" si="33"/>
        <v>106.137</v>
      </c>
      <c r="R24" s="483">
        <f>100+1.137</f>
        <v>101.137</v>
      </c>
      <c r="S24" s="483">
        <v>5</v>
      </c>
      <c r="T24" s="533"/>
      <c r="U24" s="448">
        <f t="shared" si="32"/>
        <v>0</v>
      </c>
      <c r="V24" s="448">
        <f t="shared" si="29"/>
        <v>0</v>
      </c>
      <c r="W24" s="448">
        <f t="shared" si="29"/>
        <v>0</v>
      </c>
      <c r="X24" s="445">
        <f t="shared" si="21"/>
        <v>0</v>
      </c>
      <c r="Y24" s="448"/>
      <c r="Z24" s="448"/>
      <c r="AA24" s="448"/>
      <c r="AB24" s="483"/>
      <c r="AC24" s="483"/>
      <c r="AD24" s="448"/>
      <c r="AE24" s="483"/>
      <c r="AF24" s="483"/>
      <c r="AG24" s="448">
        <f t="shared" ref="AG24:AG29" si="34">+AH24+AI24</f>
        <v>106.137</v>
      </c>
      <c r="AH24" s="483">
        <f>100+1.137</f>
        <v>101.137</v>
      </c>
      <c r="AI24" s="483">
        <v>5</v>
      </c>
      <c r="AJ24" s="448"/>
      <c r="AK24" s="448"/>
      <c r="AL24" s="145"/>
      <c r="AM24" s="369"/>
      <c r="AN24" s="369"/>
      <c r="AO24" s="369"/>
    </row>
    <row r="25" spans="1:41" s="146" customFormat="1" ht="60">
      <c r="A25" s="141">
        <f t="shared" si="27"/>
        <v>11</v>
      </c>
      <c r="B25" s="325" t="s">
        <v>1163</v>
      </c>
      <c r="C25" s="141" t="s">
        <v>63</v>
      </c>
      <c r="D25" s="141"/>
      <c r="E25" s="141" t="s">
        <v>85</v>
      </c>
      <c r="F25" s="141" t="s">
        <v>55</v>
      </c>
      <c r="G25" s="447">
        <f t="shared" si="28"/>
        <v>131.04</v>
      </c>
      <c r="H25" s="447">
        <v>124.8</v>
      </c>
      <c r="I25" s="473">
        <v>6.24</v>
      </c>
      <c r="J25" s="448"/>
      <c r="K25" s="483"/>
      <c r="L25" s="448"/>
      <c r="M25" s="448"/>
      <c r="N25" s="529">
        <f>+O25+P25</f>
        <v>1.0000000000005116E-2</v>
      </c>
      <c r="O25" s="530">
        <f>+R25-H25</f>
        <v>1.0000000000005116E-2</v>
      </c>
      <c r="P25" s="530"/>
      <c r="Q25" s="466">
        <f t="shared" si="33"/>
        <v>131.05000000000001</v>
      </c>
      <c r="R25" s="483">
        <v>124.81</v>
      </c>
      <c r="S25" s="483">
        <v>6.24</v>
      </c>
      <c r="T25" s="533" t="s">
        <v>1165</v>
      </c>
      <c r="U25" s="448">
        <f t="shared" si="32"/>
        <v>0</v>
      </c>
      <c r="V25" s="448">
        <f t="shared" si="29"/>
        <v>0</v>
      </c>
      <c r="W25" s="448">
        <f t="shared" si="29"/>
        <v>0</v>
      </c>
      <c r="X25" s="445">
        <f t="shared" si="21"/>
        <v>0</v>
      </c>
      <c r="Y25" s="448"/>
      <c r="Z25" s="448"/>
      <c r="AA25" s="448"/>
      <c r="AB25" s="483"/>
      <c r="AC25" s="483"/>
      <c r="AD25" s="448"/>
      <c r="AE25" s="483"/>
      <c r="AF25" s="483"/>
      <c r="AG25" s="448">
        <f t="shared" si="34"/>
        <v>131.05000000000001</v>
      </c>
      <c r="AH25" s="483">
        <v>124.81</v>
      </c>
      <c r="AI25" s="483">
        <v>6.24</v>
      </c>
      <c r="AJ25" s="448"/>
      <c r="AK25" s="448"/>
      <c r="AL25" s="145"/>
      <c r="AM25" s="369"/>
      <c r="AN25" s="369"/>
      <c r="AO25" s="369"/>
    </row>
    <row r="26" spans="1:41" s="146" customFormat="1" ht="45">
      <c r="A26" s="141">
        <f t="shared" si="27"/>
        <v>12</v>
      </c>
      <c r="B26" s="325" t="s">
        <v>86</v>
      </c>
      <c r="C26" s="141" t="s">
        <v>66</v>
      </c>
      <c r="D26" s="141"/>
      <c r="E26" s="141" t="s">
        <v>87</v>
      </c>
      <c r="F26" s="141" t="s">
        <v>55</v>
      </c>
      <c r="G26" s="447">
        <f t="shared" si="28"/>
        <v>288.54000000000002</v>
      </c>
      <c r="H26" s="447">
        <v>274.8</v>
      </c>
      <c r="I26" s="473">
        <v>13.74</v>
      </c>
      <c r="J26" s="448">
        <v>0</v>
      </c>
      <c r="K26" s="483"/>
      <c r="L26" s="448"/>
      <c r="M26" s="448"/>
      <c r="N26" s="529"/>
      <c r="O26" s="530"/>
      <c r="P26" s="530"/>
      <c r="Q26" s="466">
        <f t="shared" si="33"/>
        <v>288.54000000000002</v>
      </c>
      <c r="R26" s="483">
        <v>274.8</v>
      </c>
      <c r="S26" s="483">
        <v>13.74</v>
      </c>
      <c r="T26" s="448"/>
      <c r="U26" s="448">
        <f t="shared" si="32"/>
        <v>0</v>
      </c>
      <c r="V26" s="448">
        <f t="shared" si="29"/>
        <v>0</v>
      </c>
      <c r="W26" s="448">
        <f t="shared" si="29"/>
        <v>0</v>
      </c>
      <c r="X26" s="445">
        <f t="shared" si="21"/>
        <v>0</v>
      </c>
      <c r="Y26" s="448"/>
      <c r="Z26" s="448"/>
      <c r="AA26" s="448"/>
      <c r="AB26" s="483"/>
      <c r="AC26" s="483"/>
      <c r="AD26" s="448"/>
      <c r="AE26" s="483"/>
      <c r="AF26" s="483"/>
      <c r="AG26" s="448">
        <f t="shared" si="34"/>
        <v>288.54000000000002</v>
      </c>
      <c r="AH26" s="483">
        <v>274.8</v>
      </c>
      <c r="AI26" s="483">
        <v>13.74</v>
      </c>
      <c r="AJ26" s="448"/>
      <c r="AK26" s="448"/>
      <c r="AL26" s="145"/>
      <c r="AM26" s="369"/>
      <c r="AN26" s="369"/>
      <c r="AO26" s="369"/>
    </row>
    <row r="27" spans="1:41" s="146" customFormat="1" ht="75">
      <c r="A27" s="141">
        <f t="shared" si="27"/>
        <v>13</v>
      </c>
      <c r="B27" s="325" t="s">
        <v>1164</v>
      </c>
      <c r="C27" s="141" t="s">
        <v>69</v>
      </c>
      <c r="D27" s="141"/>
      <c r="E27" s="141" t="s">
        <v>70</v>
      </c>
      <c r="F27" s="141" t="s">
        <v>55</v>
      </c>
      <c r="G27" s="447">
        <f t="shared" si="28"/>
        <v>420</v>
      </c>
      <c r="H27" s="447">
        <v>400</v>
      </c>
      <c r="I27" s="473">
        <v>20</v>
      </c>
      <c r="J27" s="448"/>
      <c r="K27" s="483">
        <f>+L27+M27</f>
        <v>0.23000000000000043</v>
      </c>
      <c r="L27" s="448"/>
      <c r="M27" s="448">
        <f>+I27-S27</f>
        <v>0.23000000000000043</v>
      </c>
      <c r="N27" s="529">
        <f>+O27+P27</f>
        <v>80.220000000000027</v>
      </c>
      <c r="O27" s="530">
        <f>+R27-H27</f>
        <v>80.220000000000027</v>
      </c>
      <c r="P27" s="530"/>
      <c r="Q27" s="466">
        <f t="shared" si="33"/>
        <v>499.99</v>
      </c>
      <c r="R27" s="483">
        <v>480.22</v>
      </c>
      <c r="S27" s="483">
        <v>19.77</v>
      </c>
      <c r="T27" s="533" t="s">
        <v>1167</v>
      </c>
      <c r="U27" s="448">
        <f t="shared" si="32"/>
        <v>0</v>
      </c>
      <c r="V27" s="448">
        <f t="shared" si="29"/>
        <v>0</v>
      </c>
      <c r="W27" s="448">
        <f t="shared" si="29"/>
        <v>0</v>
      </c>
      <c r="X27" s="445">
        <f t="shared" si="21"/>
        <v>0</v>
      </c>
      <c r="Y27" s="448"/>
      <c r="Z27" s="448"/>
      <c r="AA27" s="448"/>
      <c r="AB27" s="483"/>
      <c r="AC27" s="483"/>
      <c r="AD27" s="448"/>
      <c r="AE27" s="483"/>
      <c r="AF27" s="483"/>
      <c r="AG27" s="448">
        <f t="shared" si="34"/>
        <v>499.99</v>
      </c>
      <c r="AH27" s="483">
        <v>480.22</v>
      </c>
      <c r="AI27" s="483">
        <v>19.77</v>
      </c>
      <c r="AJ27" s="448"/>
      <c r="AK27" s="448"/>
      <c r="AL27" s="145"/>
      <c r="AM27" s="369"/>
      <c r="AN27" s="369"/>
      <c r="AO27" s="369"/>
    </row>
    <row r="28" spans="1:41" s="146" customFormat="1" ht="45">
      <c r="A28" s="141">
        <f t="shared" si="27"/>
        <v>14</v>
      </c>
      <c r="B28" s="467" t="s">
        <v>1108</v>
      </c>
      <c r="C28" s="148" t="s">
        <v>63</v>
      </c>
      <c r="D28" s="148"/>
      <c r="E28" s="148"/>
      <c r="F28" s="148" t="s">
        <v>55</v>
      </c>
      <c r="G28" s="468"/>
      <c r="H28" s="468"/>
      <c r="I28" s="468"/>
      <c r="J28" s="469"/>
      <c r="K28" s="484"/>
      <c r="L28" s="469"/>
      <c r="M28" s="469"/>
      <c r="N28" s="531">
        <f>+O28+P28</f>
        <v>264</v>
      </c>
      <c r="O28" s="532">
        <v>255.42</v>
      </c>
      <c r="P28" s="532">
        <v>8.58</v>
      </c>
      <c r="Q28" s="450">
        <f t="shared" si="33"/>
        <v>264</v>
      </c>
      <c r="R28" s="484">
        <v>255.42</v>
      </c>
      <c r="S28" s="484">
        <v>8.58</v>
      </c>
      <c r="T28" s="534" t="s">
        <v>1166</v>
      </c>
      <c r="U28" s="469"/>
      <c r="V28" s="469"/>
      <c r="W28" s="469"/>
      <c r="X28" s="505"/>
      <c r="Y28" s="469"/>
      <c r="Z28" s="469"/>
      <c r="AA28" s="469"/>
      <c r="AB28" s="484"/>
      <c r="AC28" s="484"/>
      <c r="AD28" s="469"/>
      <c r="AE28" s="484"/>
      <c r="AF28" s="484"/>
      <c r="AG28" s="469">
        <f t="shared" si="34"/>
        <v>264</v>
      </c>
      <c r="AH28" s="484">
        <v>255.42</v>
      </c>
      <c r="AI28" s="484">
        <v>8.58</v>
      </c>
      <c r="AJ28" s="469"/>
      <c r="AK28" s="469"/>
      <c r="AL28" s="470"/>
      <c r="AM28" s="369"/>
      <c r="AN28" s="369"/>
      <c r="AO28" s="369"/>
    </row>
    <row r="29" spans="1:41" s="146" customFormat="1" ht="50.25" customHeight="1">
      <c r="A29" s="141">
        <f t="shared" si="27"/>
        <v>15</v>
      </c>
      <c r="B29" s="467" t="s">
        <v>1109</v>
      </c>
      <c r="C29" s="148" t="s">
        <v>66</v>
      </c>
      <c r="D29" s="148"/>
      <c r="E29" s="148"/>
      <c r="F29" s="148" t="s">
        <v>55</v>
      </c>
      <c r="G29" s="468"/>
      <c r="H29" s="468"/>
      <c r="I29" s="468"/>
      <c r="J29" s="469"/>
      <c r="K29" s="484"/>
      <c r="L29" s="469"/>
      <c r="M29" s="469"/>
      <c r="N29" s="531">
        <f>+O29+P29</f>
        <v>252.41989999999998</v>
      </c>
      <c r="O29" s="532">
        <f>205.42+40.9699</f>
        <v>246.38989999999998</v>
      </c>
      <c r="P29" s="532">
        <v>6.03</v>
      </c>
      <c r="Q29" s="450">
        <f t="shared" si="33"/>
        <v>252.41989999999998</v>
      </c>
      <c r="R29" s="484">
        <f>205.42+40.9699</f>
        <v>246.38989999999998</v>
      </c>
      <c r="S29" s="484">
        <v>6.03</v>
      </c>
      <c r="T29" s="534" t="s">
        <v>1166</v>
      </c>
      <c r="U29" s="469"/>
      <c r="V29" s="469"/>
      <c r="W29" s="469"/>
      <c r="X29" s="505"/>
      <c r="Y29" s="469"/>
      <c r="Z29" s="469"/>
      <c r="AA29" s="469"/>
      <c r="AB29" s="484"/>
      <c r="AC29" s="484"/>
      <c r="AD29" s="469"/>
      <c r="AE29" s="484"/>
      <c r="AF29" s="484"/>
      <c r="AG29" s="469">
        <f t="shared" si="34"/>
        <v>252.41989999999998</v>
      </c>
      <c r="AH29" s="484">
        <f>205.42+40.9699</f>
        <v>246.38989999999998</v>
      </c>
      <c r="AI29" s="484">
        <v>6.03</v>
      </c>
      <c r="AJ29" s="469"/>
      <c r="AK29" s="469"/>
      <c r="AL29" s="470"/>
      <c r="AM29" s="369"/>
      <c r="AN29" s="369"/>
      <c r="AO29" s="369"/>
    </row>
    <row r="30" spans="1:41" s="14" customFormat="1" ht="23.25" customHeight="1">
      <c r="A30" s="4" t="s">
        <v>988</v>
      </c>
      <c r="B30" s="507" t="s">
        <v>91</v>
      </c>
      <c r="C30" s="4"/>
      <c r="D30" s="4"/>
      <c r="E30" s="417">
        <v>0</v>
      </c>
      <c r="F30" s="417"/>
      <c r="G30" s="446">
        <f>SUM(G31:G44)</f>
        <v>10104.68</v>
      </c>
      <c r="H30" s="446">
        <f>SUM(H31:H44)</f>
        <v>9623.51</v>
      </c>
      <c r="I30" s="446">
        <f t="shared" ref="I30:AK30" si="35">SUM(I31:I44)</f>
        <v>481.16999999999996</v>
      </c>
      <c r="J30" s="446">
        <f t="shared" si="35"/>
        <v>0</v>
      </c>
      <c r="K30" s="446">
        <f t="shared" si="35"/>
        <v>738.71</v>
      </c>
      <c r="L30" s="446">
        <f t="shared" si="35"/>
        <v>725.24</v>
      </c>
      <c r="M30" s="446">
        <f t="shared" si="35"/>
        <v>13.469999999999992</v>
      </c>
      <c r="N30" s="446">
        <f t="shared" si="35"/>
        <v>738.71</v>
      </c>
      <c r="O30" s="446">
        <f t="shared" si="35"/>
        <v>725.24</v>
      </c>
      <c r="P30" s="446">
        <f t="shared" si="35"/>
        <v>13.469999999999992</v>
      </c>
      <c r="Q30" s="541">
        <f t="shared" si="35"/>
        <v>10104.68</v>
      </c>
      <c r="R30" s="535">
        <f t="shared" si="35"/>
        <v>9623.51</v>
      </c>
      <c r="S30" s="535">
        <f t="shared" si="35"/>
        <v>481.16999999999996</v>
      </c>
      <c r="T30" s="446">
        <f t="shared" si="35"/>
        <v>0</v>
      </c>
      <c r="U30" s="446">
        <f t="shared" si="35"/>
        <v>6746.67</v>
      </c>
      <c r="V30" s="446">
        <f t="shared" si="35"/>
        <v>6398.2699999999995</v>
      </c>
      <c r="W30" s="446">
        <f t="shared" si="35"/>
        <v>348.4</v>
      </c>
      <c r="X30" s="446">
        <f t="shared" si="35"/>
        <v>1818.67</v>
      </c>
      <c r="Y30" s="446">
        <f t="shared" si="35"/>
        <v>1732.07</v>
      </c>
      <c r="Z30" s="446">
        <f t="shared" si="35"/>
        <v>86.6</v>
      </c>
      <c r="AA30" s="446">
        <f t="shared" si="35"/>
        <v>2447.4</v>
      </c>
      <c r="AB30" s="482">
        <f t="shared" si="35"/>
        <v>2322</v>
      </c>
      <c r="AC30" s="482">
        <f t="shared" si="35"/>
        <v>125.4</v>
      </c>
      <c r="AD30" s="446">
        <f t="shared" si="35"/>
        <v>2480.6000000000004</v>
      </c>
      <c r="AE30" s="482">
        <f t="shared" si="35"/>
        <v>2344.1999999999998</v>
      </c>
      <c r="AF30" s="482">
        <f t="shared" si="35"/>
        <v>136.39999999999998</v>
      </c>
      <c r="AG30" s="446">
        <f t="shared" si="35"/>
        <v>3358.01</v>
      </c>
      <c r="AH30" s="482">
        <f t="shared" si="35"/>
        <v>3225.24</v>
      </c>
      <c r="AI30" s="482">
        <f t="shared" si="35"/>
        <v>132.76999999999998</v>
      </c>
      <c r="AJ30" s="446"/>
      <c r="AK30" s="446">
        <f t="shared" si="35"/>
        <v>0</v>
      </c>
      <c r="AL30" s="16"/>
      <c r="AM30" s="368">
        <f>+'NĂM 2022'!K25+'NĂM 2023'!N26+'NĂM 2024'!J26+'NĂM 2025'!J27</f>
        <v>10104.68</v>
      </c>
      <c r="AN30" s="368">
        <f>+'NĂM 2022'!L25+'NĂM 2023'!O26+'NĂM 2024'!K26+'NĂM 2025'!K27</f>
        <v>9623.51</v>
      </c>
      <c r="AO30" s="368">
        <f>+'NĂM 2022'!M25+'NĂM 2023'!P26+'NĂM 2024'!L26+'NĂM 2025'!L27</f>
        <v>481.16999999999996</v>
      </c>
    </row>
    <row r="31" spans="1:41" s="146" customFormat="1" ht="75">
      <c r="A31" s="141">
        <v>1</v>
      </c>
      <c r="B31" s="325" t="s">
        <v>92</v>
      </c>
      <c r="C31" s="141" t="s">
        <v>93</v>
      </c>
      <c r="D31" s="141"/>
      <c r="E31" s="141" t="s">
        <v>94</v>
      </c>
      <c r="F31" s="141" t="s">
        <v>52</v>
      </c>
      <c r="G31" s="447">
        <f t="shared" si="28"/>
        <v>462</v>
      </c>
      <c r="H31" s="447">
        <v>440</v>
      </c>
      <c r="I31" s="447">
        <v>22</v>
      </c>
      <c r="J31" s="448">
        <v>0</v>
      </c>
      <c r="K31" s="483">
        <f>+Q31-G31</f>
        <v>0</v>
      </c>
      <c r="L31" s="448"/>
      <c r="M31" s="448"/>
      <c r="N31" s="483"/>
      <c r="O31" s="448"/>
      <c r="P31" s="448"/>
      <c r="Q31" s="466">
        <f>+R31+S31</f>
        <v>462</v>
      </c>
      <c r="R31" s="448">
        <v>440</v>
      </c>
      <c r="S31" s="448">
        <v>22</v>
      </c>
      <c r="T31" s="448"/>
      <c r="U31" s="448">
        <f>+X31+AA31+AD31</f>
        <v>462</v>
      </c>
      <c r="V31" s="448">
        <f t="shared" ref="V31:W44" si="36">+Y31+AB31+AE31</f>
        <v>440</v>
      </c>
      <c r="W31" s="448">
        <f t="shared" si="36"/>
        <v>22</v>
      </c>
      <c r="X31" s="445">
        <f t="shared" si="21"/>
        <v>462</v>
      </c>
      <c r="Y31" s="447">
        <v>440</v>
      </c>
      <c r="Z31" s="447">
        <v>22</v>
      </c>
      <c r="AA31" s="447"/>
      <c r="AB31" s="481"/>
      <c r="AC31" s="481"/>
      <c r="AD31" s="447"/>
      <c r="AE31" s="481"/>
      <c r="AF31" s="481"/>
      <c r="AG31" s="447"/>
      <c r="AH31" s="481"/>
      <c r="AI31" s="481"/>
      <c r="AJ31" s="447"/>
      <c r="AK31" s="448"/>
      <c r="AL31" s="145"/>
      <c r="AM31" s="465">
        <f>+G30-U30</f>
        <v>3358.01</v>
      </c>
      <c r="AN31" s="465">
        <f>+H30-V30</f>
        <v>3225.2400000000007</v>
      </c>
      <c r="AO31" s="465">
        <f>+I30-W30</f>
        <v>132.76999999999998</v>
      </c>
    </row>
    <row r="32" spans="1:41" s="146" customFormat="1" ht="75">
      <c r="A32" s="141">
        <f>+A31+1</f>
        <v>2</v>
      </c>
      <c r="B32" s="325" t="s">
        <v>95</v>
      </c>
      <c r="C32" s="141" t="s">
        <v>96</v>
      </c>
      <c r="D32" s="141"/>
      <c r="E32" s="141" t="s">
        <v>94</v>
      </c>
      <c r="F32" s="141" t="s">
        <v>52</v>
      </c>
      <c r="G32" s="447">
        <f t="shared" si="28"/>
        <v>462</v>
      </c>
      <c r="H32" s="447">
        <v>440</v>
      </c>
      <c r="I32" s="447">
        <v>22</v>
      </c>
      <c r="J32" s="448">
        <v>0</v>
      </c>
      <c r="K32" s="483">
        <f t="shared" ref="K32:K44" si="37">+Q32-G32</f>
        <v>0</v>
      </c>
      <c r="L32" s="448"/>
      <c r="M32" s="448"/>
      <c r="N32" s="483"/>
      <c r="O32" s="448"/>
      <c r="P32" s="448"/>
      <c r="Q32" s="466">
        <f t="shared" ref="Q32:Q41" si="38">+R32+S32</f>
        <v>462</v>
      </c>
      <c r="R32" s="448">
        <v>440</v>
      </c>
      <c r="S32" s="448">
        <v>22</v>
      </c>
      <c r="T32" s="448"/>
      <c r="U32" s="448">
        <f t="shared" ref="U32:U44" si="39">+X32+AA32+AD32</f>
        <v>462</v>
      </c>
      <c r="V32" s="448">
        <f t="shared" si="36"/>
        <v>440</v>
      </c>
      <c r="W32" s="448">
        <f t="shared" si="36"/>
        <v>22</v>
      </c>
      <c r="X32" s="445">
        <f t="shared" si="21"/>
        <v>462</v>
      </c>
      <c r="Y32" s="447">
        <v>440</v>
      </c>
      <c r="Z32" s="447">
        <v>22</v>
      </c>
      <c r="AA32" s="447"/>
      <c r="AB32" s="481"/>
      <c r="AC32" s="481"/>
      <c r="AD32" s="447"/>
      <c r="AE32" s="481"/>
      <c r="AF32" s="481"/>
      <c r="AG32" s="447"/>
      <c r="AH32" s="481"/>
      <c r="AI32" s="481"/>
      <c r="AJ32" s="447"/>
      <c r="AK32" s="448"/>
      <c r="AL32" s="145"/>
      <c r="AM32" s="369">
        <f>+AG30-AM31</f>
        <v>0</v>
      </c>
      <c r="AN32" s="369">
        <f t="shared" ref="AN32:AO32" si="40">+AH30-AN31</f>
        <v>0</v>
      </c>
      <c r="AO32" s="369">
        <f t="shared" si="40"/>
        <v>0</v>
      </c>
    </row>
    <row r="33" spans="1:41" s="146" customFormat="1" ht="75">
      <c r="A33" s="141">
        <f t="shared" ref="A33:A44" si="41">+A32+1</f>
        <v>3</v>
      </c>
      <c r="B33" s="325" t="s">
        <v>97</v>
      </c>
      <c r="C33" s="141" t="s">
        <v>98</v>
      </c>
      <c r="D33" s="141"/>
      <c r="E33" s="141" t="s">
        <v>99</v>
      </c>
      <c r="F33" s="141" t="s">
        <v>52</v>
      </c>
      <c r="G33" s="447">
        <f t="shared" si="28"/>
        <v>630</v>
      </c>
      <c r="H33" s="447">
        <v>600</v>
      </c>
      <c r="I33" s="447">
        <v>30</v>
      </c>
      <c r="J33" s="448">
        <v>0</v>
      </c>
      <c r="K33" s="483">
        <f t="shared" si="37"/>
        <v>0</v>
      </c>
      <c r="L33" s="448"/>
      <c r="M33" s="448"/>
      <c r="N33" s="483"/>
      <c r="O33" s="448"/>
      <c r="P33" s="448"/>
      <c r="Q33" s="466">
        <f t="shared" si="38"/>
        <v>630</v>
      </c>
      <c r="R33" s="448">
        <v>600</v>
      </c>
      <c r="S33" s="448">
        <v>30</v>
      </c>
      <c r="T33" s="448"/>
      <c r="U33" s="448">
        <f t="shared" si="39"/>
        <v>630</v>
      </c>
      <c r="V33" s="448">
        <f t="shared" si="36"/>
        <v>600</v>
      </c>
      <c r="W33" s="448">
        <f t="shared" si="36"/>
        <v>30</v>
      </c>
      <c r="X33" s="445">
        <f t="shared" si="21"/>
        <v>630</v>
      </c>
      <c r="Y33" s="447">
        <v>600</v>
      </c>
      <c r="Z33" s="447">
        <v>30</v>
      </c>
      <c r="AA33" s="447"/>
      <c r="AB33" s="481"/>
      <c r="AC33" s="481"/>
      <c r="AD33" s="447"/>
      <c r="AE33" s="481"/>
      <c r="AF33" s="481"/>
      <c r="AG33" s="447"/>
      <c r="AH33" s="481"/>
      <c r="AI33" s="481"/>
      <c r="AJ33" s="447"/>
      <c r="AK33" s="448"/>
      <c r="AL33" s="145"/>
      <c r="AM33" s="369"/>
      <c r="AN33" s="369"/>
      <c r="AO33" s="369"/>
    </row>
    <row r="34" spans="1:41" s="146" customFormat="1" ht="45">
      <c r="A34" s="141">
        <f t="shared" si="41"/>
        <v>4</v>
      </c>
      <c r="B34" s="325" t="s">
        <v>100</v>
      </c>
      <c r="C34" s="141" t="s">
        <v>93</v>
      </c>
      <c r="D34" s="141"/>
      <c r="E34" s="141" t="s">
        <v>101</v>
      </c>
      <c r="F34" s="141" t="s">
        <v>52</v>
      </c>
      <c r="G34" s="447">
        <f t="shared" si="28"/>
        <v>264.67</v>
      </c>
      <c r="H34" s="447">
        <v>252.07</v>
      </c>
      <c r="I34" s="447">
        <v>12.6</v>
      </c>
      <c r="J34" s="448">
        <v>0</v>
      </c>
      <c r="K34" s="483">
        <f t="shared" si="37"/>
        <v>0</v>
      </c>
      <c r="L34" s="448"/>
      <c r="M34" s="448"/>
      <c r="N34" s="483"/>
      <c r="O34" s="448"/>
      <c r="P34" s="448"/>
      <c r="Q34" s="466">
        <f t="shared" si="38"/>
        <v>264.67</v>
      </c>
      <c r="R34" s="448">
        <v>252.07</v>
      </c>
      <c r="S34" s="448">
        <v>12.6</v>
      </c>
      <c r="T34" s="448"/>
      <c r="U34" s="448">
        <f t="shared" si="39"/>
        <v>264.67</v>
      </c>
      <c r="V34" s="448">
        <f t="shared" si="36"/>
        <v>252.07</v>
      </c>
      <c r="W34" s="448">
        <f t="shared" si="36"/>
        <v>12.6</v>
      </c>
      <c r="X34" s="445">
        <f t="shared" si="21"/>
        <v>264.67</v>
      </c>
      <c r="Y34" s="447">
        <v>252.07</v>
      </c>
      <c r="Z34" s="447">
        <v>12.6</v>
      </c>
      <c r="AA34" s="447"/>
      <c r="AB34" s="481"/>
      <c r="AC34" s="481"/>
      <c r="AD34" s="447"/>
      <c r="AE34" s="481"/>
      <c r="AF34" s="481"/>
      <c r="AG34" s="447"/>
      <c r="AH34" s="481"/>
      <c r="AI34" s="481"/>
      <c r="AJ34" s="447"/>
      <c r="AK34" s="448"/>
      <c r="AL34" s="145"/>
      <c r="AM34" s="369"/>
      <c r="AN34" s="369"/>
      <c r="AO34" s="369"/>
    </row>
    <row r="35" spans="1:41" s="146" customFormat="1" ht="75">
      <c r="A35" s="141">
        <f t="shared" si="41"/>
        <v>5</v>
      </c>
      <c r="B35" s="325" t="s">
        <v>102</v>
      </c>
      <c r="C35" s="134" t="s">
        <v>115</v>
      </c>
      <c r="D35" s="141"/>
      <c r="E35" s="141" t="s">
        <v>94</v>
      </c>
      <c r="F35" s="141" t="s">
        <v>53</v>
      </c>
      <c r="G35" s="447">
        <f t="shared" si="28"/>
        <v>462</v>
      </c>
      <c r="H35" s="447">
        <v>440</v>
      </c>
      <c r="I35" s="447">
        <v>22</v>
      </c>
      <c r="J35" s="448">
        <v>0</v>
      </c>
      <c r="K35" s="483">
        <f t="shared" si="37"/>
        <v>0</v>
      </c>
      <c r="L35" s="448"/>
      <c r="M35" s="448"/>
      <c r="N35" s="483"/>
      <c r="O35" s="448"/>
      <c r="P35" s="448"/>
      <c r="Q35" s="466">
        <f t="shared" si="38"/>
        <v>462</v>
      </c>
      <c r="R35" s="448">
        <v>440</v>
      </c>
      <c r="S35" s="448">
        <v>22</v>
      </c>
      <c r="T35" s="448"/>
      <c r="U35" s="448">
        <f t="shared" si="39"/>
        <v>462</v>
      </c>
      <c r="V35" s="448">
        <f t="shared" si="36"/>
        <v>440</v>
      </c>
      <c r="W35" s="448">
        <f t="shared" si="36"/>
        <v>22</v>
      </c>
      <c r="X35" s="445">
        <f t="shared" si="21"/>
        <v>0</v>
      </c>
      <c r="Y35" s="448"/>
      <c r="Z35" s="448"/>
      <c r="AA35" s="448">
        <f>+AB35+AC35</f>
        <v>462</v>
      </c>
      <c r="AB35" s="483">
        <v>440</v>
      </c>
      <c r="AC35" s="483">
        <v>22</v>
      </c>
      <c r="AD35" s="448"/>
      <c r="AE35" s="483"/>
      <c r="AF35" s="483"/>
      <c r="AG35" s="448"/>
      <c r="AH35" s="483"/>
      <c r="AI35" s="483"/>
      <c r="AJ35" s="448"/>
      <c r="AK35" s="448"/>
      <c r="AL35" s="145"/>
      <c r="AM35" s="369"/>
      <c r="AN35" s="369"/>
      <c r="AO35" s="369"/>
    </row>
    <row r="36" spans="1:41" s="146" customFormat="1" ht="75">
      <c r="A36" s="141">
        <f t="shared" si="41"/>
        <v>6</v>
      </c>
      <c r="B36" s="325" t="s">
        <v>103</v>
      </c>
      <c r="C36" s="141" t="s">
        <v>96</v>
      </c>
      <c r="D36" s="141"/>
      <c r="E36" s="141" t="s">
        <v>104</v>
      </c>
      <c r="F36" s="141" t="s">
        <v>53</v>
      </c>
      <c r="G36" s="447">
        <f t="shared" si="28"/>
        <v>735</v>
      </c>
      <c r="H36" s="447">
        <v>700</v>
      </c>
      <c r="I36" s="447">
        <v>35</v>
      </c>
      <c r="J36" s="448">
        <v>0</v>
      </c>
      <c r="K36" s="483">
        <f t="shared" si="37"/>
        <v>0</v>
      </c>
      <c r="L36" s="448"/>
      <c r="M36" s="448"/>
      <c r="N36" s="483"/>
      <c r="O36" s="448"/>
      <c r="P36" s="448"/>
      <c r="Q36" s="466">
        <f t="shared" si="38"/>
        <v>735</v>
      </c>
      <c r="R36" s="448">
        <v>700</v>
      </c>
      <c r="S36" s="448">
        <v>35</v>
      </c>
      <c r="T36" s="448"/>
      <c r="U36" s="448">
        <f t="shared" si="39"/>
        <v>735</v>
      </c>
      <c r="V36" s="448">
        <f t="shared" si="36"/>
        <v>700</v>
      </c>
      <c r="W36" s="448">
        <f t="shared" si="36"/>
        <v>35</v>
      </c>
      <c r="X36" s="445">
        <f t="shared" si="21"/>
        <v>0</v>
      </c>
      <c r="Y36" s="448"/>
      <c r="Z36" s="448"/>
      <c r="AA36" s="448">
        <f>+AB36+AC36</f>
        <v>735</v>
      </c>
      <c r="AB36" s="483">
        <v>700</v>
      </c>
      <c r="AC36" s="483">
        <v>35</v>
      </c>
      <c r="AD36" s="448"/>
      <c r="AE36" s="483"/>
      <c r="AF36" s="483"/>
      <c r="AG36" s="448"/>
      <c r="AH36" s="483"/>
      <c r="AI36" s="483"/>
      <c r="AJ36" s="448"/>
      <c r="AK36" s="448"/>
      <c r="AL36" s="145"/>
      <c r="AM36" s="369"/>
      <c r="AN36" s="369"/>
      <c r="AO36" s="369"/>
    </row>
    <row r="37" spans="1:41" s="146" customFormat="1" ht="75">
      <c r="A37" s="141">
        <f t="shared" si="41"/>
        <v>7</v>
      </c>
      <c r="B37" s="325" t="s">
        <v>105</v>
      </c>
      <c r="C37" s="141" t="s">
        <v>106</v>
      </c>
      <c r="D37" s="141"/>
      <c r="E37" s="141" t="s">
        <v>107</v>
      </c>
      <c r="F37" s="141" t="s">
        <v>53</v>
      </c>
      <c r="G37" s="447">
        <f t="shared" si="28"/>
        <v>1470</v>
      </c>
      <c r="H37" s="447">
        <v>1400</v>
      </c>
      <c r="I37" s="447">
        <v>70</v>
      </c>
      <c r="J37" s="448">
        <v>0</v>
      </c>
      <c r="K37" s="483">
        <f>+L37+M37</f>
        <v>219.6</v>
      </c>
      <c r="L37" s="448">
        <f>+H37-R37</f>
        <v>218</v>
      </c>
      <c r="M37" s="448">
        <f>+I37-S37</f>
        <v>1.5999999999999943</v>
      </c>
      <c r="N37" s="483"/>
      <c r="O37" s="448"/>
      <c r="P37" s="448"/>
      <c r="Q37" s="466">
        <f t="shared" si="38"/>
        <v>1250.4000000000001</v>
      </c>
      <c r="R37" s="448">
        <v>1182</v>
      </c>
      <c r="S37" s="448">
        <v>68.400000000000006</v>
      </c>
      <c r="T37" s="448"/>
      <c r="U37" s="448">
        <f t="shared" si="39"/>
        <v>1250.4000000000001</v>
      </c>
      <c r="V37" s="448">
        <f t="shared" si="36"/>
        <v>1182</v>
      </c>
      <c r="W37" s="448">
        <f t="shared" si="36"/>
        <v>68.400000000000006</v>
      </c>
      <c r="X37" s="445">
        <f t="shared" si="21"/>
        <v>0</v>
      </c>
      <c r="Y37" s="448"/>
      <c r="Z37" s="448"/>
      <c r="AA37" s="448">
        <f>+AB37+AC37</f>
        <v>1250.4000000000001</v>
      </c>
      <c r="AB37" s="483">
        <v>1182</v>
      </c>
      <c r="AC37" s="483">
        <v>68.400000000000006</v>
      </c>
      <c r="AD37" s="448"/>
      <c r="AE37" s="483"/>
      <c r="AF37" s="483"/>
      <c r="AG37" s="448"/>
      <c r="AH37" s="483"/>
      <c r="AI37" s="483"/>
      <c r="AJ37" s="448"/>
      <c r="AK37" s="448"/>
      <c r="AL37" s="145"/>
      <c r="AM37" s="369"/>
      <c r="AN37" s="369"/>
      <c r="AO37" s="369"/>
    </row>
    <row r="38" spans="1:41" s="146" customFormat="1" ht="75">
      <c r="A38" s="141">
        <f t="shared" si="41"/>
        <v>8</v>
      </c>
      <c r="B38" s="325" t="s">
        <v>108</v>
      </c>
      <c r="C38" s="141" t="s">
        <v>109</v>
      </c>
      <c r="D38" s="141"/>
      <c r="E38" s="141" t="s">
        <v>110</v>
      </c>
      <c r="F38" s="141" t="s">
        <v>54</v>
      </c>
      <c r="G38" s="447">
        <f t="shared" si="28"/>
        <v>810.0100000000001</v>
      </c>
      <c r="H38" s="447">
        <v>771.44</v>
      </c>
      <c r="I38" s="447">
        <v>38.57</v>
      </c>
      <c r="J38" s="448">
        <v>0</v>
      </c>
      <c r="K38" s="483">
        <f t="shared" ref="K38:K39" si="42">+L38+M38</f>
        <v>181.21</v>
      </c>
      <c r="L38" s="448">
        <f t="shared" ref="L38:L39" si="43">+H38-R38</f>
        <v>177.24</v>
      </c>
      <c r="M38" s="448">
        <f t="shared" ref="M38:M39" si="44">+I38-S38</f>
        <v>3.9699999999999989</v>
      </c>
      <c r="N38" s="483"/>
      <c r="O38" s="448"/>
      <c r="P38" s="448"/>
      <c r="Q38" s="466">
        <f t="shared" si="38"/>
        <v>628.80000000000007</v>
      </c>
      <c r="R38" s="448">
        <v>594.20000000000005</v>
      </c>
      <c r="S38" s="448">
        <v>34.6</v>
      </c>
      <c r="T38" s="448"/>
      <c r="U38" s="448">
        <f t="shared" si="39"/>
        <v>628.80000000000007</v>
      </c>
      <c r="V38" s="448">
        <f t="shared" si="36"/>
        <v>594.20000000000005</v>
      </c>
      <c r="W38" s="448">
        <f t="shared" si="36"/>
        <v>34.6</v>
      </c>
      <c r="X38" s="445">
        <f t="shared" si="21"/>
        <v>0</v>
      </c>
      <c r="Y38" s="448"/>
      <c r="Z38" s="448"/>
      <c r="AA38" s="448"/>
      <c r="AB38" s="483"/>
      <c r="AC38" s="483"/>
      <c r="AD38" s="448">
        <f>+AE38+AF38</f>
        <v>628.80000000000007</v>
      </c>
      <c r="AE38" s="483">
        <v>594.20000000000005</v>
      </c>
      <c r="AF38" s="483">
        <v>34.6</v>
      </c>
      <c r="AG38" s="448"/>
      <c r="AH38" s="483"/>
      <c r="AI38" s="483"/>
      <c r="AJ38" s="448"/>
      <c r="AK38" s="448"/>
      <c r="AL38" s="145"/>
      <c r="AM38" s="369"/>
      <c r="AN38" s="369"/>
      <c r="AO38" s="369"/>
    </row>
    <row r="39" spans="1:41" s="146" customFormat="1" ht="75">
      <c r="A39" s="141">
        <f t="shared" si="41"/>
        <v>9</v>
      </c>
      <c r="B39" s="325" t="s">
        <v>111</v>
      </c>
      <c r="C39" s="141" t="s">
        <v>93</v>
      </c>
      <c r="D39" s="141"/>
      <c r="E39" s="141" t="s">
        <v>110</v>
      </c>
      <c r="F39" s="141" t="s">
        <v>54</v>
      </c>
      <c r="G39" s="447">
        <f t="shared" si="28"/>
        <v>714</v>
      </c>
      <c r="H39" s="447">
        <v>680</v>
      </c>
      <c r="I39" s="447">
        <v>34</v>
      </c>
      <c r="J39" s="448">
        <v>0</v>
      </c>
      <c r="K39" s="483">
        <f t="shared" si="42"/>
        <v>237.9</v>
      </c>
      <c r="L39" s="448">
        <f t="shared" si="43"/>
        <v>230</v>
      </c>
      <c r="M39" s="448">
        <f t="shared" si="44"/>
        <v>7.8999999999999986</v>
      </c>
      <c r="N39" s="483"/>
      <c r="O39" s="448"/>
      <c r="P39" s="448"/>
      <c r="Q39" s="466">
        <f t="shared" si="38"/>
        <v>476.1</v>
      </c>
      <c r="R39" s="448">
        <v>450</v>
      </c>
      <c r="S39" s="448">
        <v>26.1</v>
      </c>
      <c r="T39" s="448"/>
      <c r="U39" s="448">
        <f t="shared" si="39"/>
        <v>476.1</v>
      </c>
      <c r="V39" s="448">
        <f t="shared" si="36"/>
        <v>450</v>
      </c>
      <c r="W39" s="448">
        <f t="shared" si="36"/>
        <v>26.1</v>
      </c>
      <c r="X39" s="445">
        <f t="shared" si="21"/>
        <v>0</v>
      </c>
      <c r="Y39" s="448"/>
      <c r="Z39" s="448"/>
      <c r="AA39" s="448"/>
      <c r="AB39" s="483"/>
      <c r="AC39" s="483"/>
      <c r="AD39" s="448">
        <f>+AE39+AF39</f>
        <v>476.1</v>
      </c>
      <c r="AE39" s="483">
        <v>450</v>
      </c>
      <c r="AF39" s="483">
        <v>26.1</v>
      </c>
      <c r="AG39" s="448"/>
      <c r="AH39" s="483"/>
      <c r="AI39" s="483"/>
      <c r="AJ39" s="448"/>
      <c r="AK39" s="448"/>
      <c r="AL39" s="145"/>
      <c r="AM39" s="369"/>
      <c r="AN39" s="369"/>
      <c r="AO39" s="369"/>
    </row>
    <row r="40" spans="1:41" s="149" customFormat="1" ht="48" customHeight="1">
      <c r="A40" s="141">
        <f t="shared" si="41"/>
        <v>10</v>
      </c>
      <c r="B40" s="327" t="s">
        <v>793</v>
      </c>
      <c r="C40" s="135" t="s">
        <v>794</v>
      </c>
      <c r="D40" s="135"/>
      <c r="E40" s="135" t="s">
        <v>795</v>
      </c>
      <c r="F40" s="135" t="s">
        <v>54</v>
      </c>
      <c r="G40" s="449">
        <f>H40+I40</f>
        <v>367.5</v>
      </c>
      <c r="H40" s="449">
        <v>350</v>
      </c>
      <c r="I40" s="449">
        <v>17.5</v>
      </c>
      <c r="J40" s="450"/>
      <c r="K40" s="483"/>
      <c r="L40" s="450"/>
      <c r="M40" s="450"/>
      <c r="N40" s="484">
        <f>+O40+P40</f>
        <v>2.8999999999999986</v>
      </c>
      <c r="O40" s="450">
        <f>+R40-H40</f>
        <v>0</v>
      </c>
      <c r="P40" s="450">
        <f>+S40-I40</f>
        <v>2.8999999999999986</v>
      </c>
      <c r="Q40" s="466">
        <f t="shared" si="38"/>
        <v>370.4</v>
      </c>
      <c r="R40" s="450">
        <v>350</v>
      </c>
      <c r="S40" s="450">
        <v>20.399999999999999</v>
      </c>
      <c r="T40" s="450"/>
      <c r="U40" s="448">
        <f t="shared" si="39"/>
        <v>370.4</v>
      </c>
      <c r="V40" s="448">
        <f t="shared" si="36"/>
        <v>350</v>
      </c>
      <c r="W40" s="448">
        <f t="shared" si="36"/>
        <v>20.399999999999999</v>
      </c>
      <c r="X40" s="505">
        <f t="shared" si="21"/>
        <v>0</v>
      </c>
      <c r="Y40" s="450"/>
      <c r="Z40" s="450"/>
      <c r="AA40" s="450"/>
      <c r="AB40" s="484"/>
      <c r="AC40" s="484"/>
      <c r="AD40" s="448">
        <f>+AE40+AF40</f>
        <v>370.4</v>
      </c>
      <c r="AE40" s="484">
        <v>350</v>
      </c>
      <c r="AF40" s="484">
        <v>20.399999999999999</v>
      </c>
      <c r="AG40" s="450"/>
      <c r="AH40" s="484"/>
      <c r="AI40" s="484"/>
      <c r="AJ40" s="450"/>
      <c r="AK40" s="450"/>
      <c r="AL40" s="138"/>
      <c r="AM40" s="370"/>
      <c r="AN40" s="370"/>
      <c r="AO40" s="370"/>
    </row>
    <row r="41" spans="1:41" s="149" customFormat="1" ht="75">
      <c r="A41" s="141">
        <f t="shared" si="41"/>
        <v>11</v>
      </c>
      <c r="B41" s="327" t="s">
        <v>796</v>
      </c>
      <c r="C41" s="135" t="s">
        <v>106</v>
      </c>
      <c r="D41" s="135"/>
      <c r="E41" s="135" t="s">
        <v>797</v>
      </c>
      <c r="F41" s="135" t="s">
        <v>54</v>
      </c>
      <c r="G41" s="449">
        <f>H41+I41</f>
        <v>1102.5</v>
      </c>
      <c r="H41" s="449">
        <v>1050</v>
      </c>
      <c r="I41" s="449">
        <v>52.5</v>
      </c>
      <c r="J41" s="450"/>
      <c r="K41" s="483">
        <f t="shared" ref="K41" si="45">+L41+M41</f>
        <v>100</v>
      </c>
      <c r="L41" s="448">
        <f t="shared" ref="L41" si="46">+H41-R41</f>
        <v>100</v>
      </c>
      <c r="M41" s="448"/>
      <c r="N41" s="484">
        <f>+O41+P41</f>
        <v>2.7999999999999972</v>
      </c>
      <c r="O41" s="450"/>
      <c r="P41" s="450">
        <f>+S41-I41</f>
        <v>2.7999999999999972</v>
      </c>
      <c r="Q41" s="466">
        <f t="shared" si="38"/>
        <v>1005.3</v>
      </c>
      <c r="R41" s="450">
        <v>950</v>
      </c>
      <c r="S41" s="450">
        <v>55.3</v>
      </c>
      <c r="T41" s="450"/>
      <c r="U41" s="448">
        <f t="shared" si="39"/>
        <v>1005.3</v>
      </c>
      <c r="V41" s="448">
        <f t="shared" si="36"/>
        <v>950</v>
      </c>
      <c r="W41" s="448">
        <f t="shared" si="36"/>
        <v>55.3</v>
      </c>
      <c r="X41" s="505"/>
      <c r="Y41" s="450"/>
      <c r="Z41" s="450"/>
      <c r="AA41" s="450"/>
      <c r="AB41" s="484"/>
      <c r="AC41" s="484"/>
      <c r="AD41" s="448">
        <f>+AE41+AF41</f>
        <v>1005.3</v>
      </c>
      <c r="AE41" s="484">
        <v>950</v>
      </c>
      <c r="AF41" s="484">
        <v>55.3</v>
      </c>
      <c r="AG41" s="450"/>
      <c r="AH41" s="484"/>
      <c r="AI41" s="484"/>
      <c r="AJ41" s="450"/>
      <c r="AK41" s="450"/>
      <c r="AL41" s="138"/>
      <c r="AM41" s="370"/>
      <c r="AN41" s="370"/>
      <c r="AO41" s="370"/>
    </row>
    <row r="42" spans="1:41" s="146" customFormat="1" ht="45">
      <c r="A42" s="141">
        <f t="shared" si="41"/>
        <v>12</v>
      </c>
      <c r="B42" s="325" t="s">
        <v>1110</v>
      </c>
      <c r="C42" s="141" t="s">
        <v>106</v>
      </c>
      <c r="D42" s="141"/>
      <c r="E42" s="141" t="s">
        <v>113</v>
      </c>
      <c r="F42" s="141" t="s">
        <v>55</v>
      </c>
      <c r="G42" s="447">
        <f t="shared" si="28"/>
        <v>1325</v>
      </c>
      <c r="H42" s="447">
        <v>1263</v>
      </c>
      <c r="I42" s="447">
        <v>62</v>
      </c>
      <c r="J42" s="448">
        <v>0</v>
      </c>
      <c r="K42" s="483"/>
      <c r="L42" s="448"/>
      <c r="M42" s="448"/>
      <c r="N42" s="483">
        <f>+O42+P42</f>
        <v>733.01</v>
      </c>
      <c r="O42" s="448">
        <f>+R42-H42</f>
        <v>725.24</v>
      </c>
      <c r="P42" s="448">
        <f>+S42-I42</f>
        <v>7.769999999999996</v>
      </c>
      <c r="Q42" s="501">
        <f t="shared" ref="Q42:Q44" si="47">R42+S42</f>
        <v>2058.0100000000002</v>
      </c>
      <c r="R42" s="481">
        <v>1988.24</v>
      </c>
      <c r="S42" s="481">
        <v>69.77</v>
      </c>
      <c r="T42" s="533"/>
      <c r="U42" s="448">
        <f t="shared" si="39"/>
        <v>0</v>
      </c>
      <c r="V42" s="448">
        <f t="shared" si="36"/>
        <v>0</v>
      </c>
      <c r="W42" s="448">
        <f t="shared" si="36"/>
        <v>0</v>
      </c>
      <c r="X42" s="445">
        <f t="shared" si="21"/>
        <v>0</v>
      </c>
      <c r="Y42" s="448"/>
      <c r="Z42" s="448"/>
      <c r="AA42" s="448"/>
      <c r="AB42" s="483"/>
      <c r="AC42" s="483"/>
      <c r="AD42" s="448"/>
      <c r="AE42" s="483"/>
      <c r="AF42" s="483"/>
      <c r="AG42" s="447">
        <f t="shared" ref="AG42:AG44" si="48">AH42+AI42</f>
        <v>2058.0100000000002</v>
      </c>
      <c r="AH42" s="481">
        <v>1988.24</v>
      </c>
      <c r="AI42" s="481">
        <v>69.77</v>
      </c>
      <c r="AJ42" s="448"/>
      <c r="AK42" s="448"/>
      <c r="AL42" s="145"/>
      <c r="AM42" s="369"/>
      <c r="AN42" s="369"/>
      <c r="AO42" s="369"/>
    </row>
    <row r="43" spans="1:41" s="146" customFormat="1" ht="30">
      <c r="A43" s="141">
        <f t="shared" si="41"/>
        <v>13</v>
      </c>
      <c r="B43" s="325" t="s">
        <v>1112</v>
      </c>
      <c r="C43" s="141" t="s">
        <v>106</v>
      </c>
      <c r="D43" s="141"/>
      <c r="E43" s="141"/>
      <c r="F43" s="141" t="s">
        <v>1111</v>
      </c>
      <c r="G43" s="447">
        <f t="shared" si="28"/>
        <v>460</v>
      </c>
      <c r="H43" s="447">
        <v>437</v>
      </c>
      <c r="I43" s="447">
        <v>23</v>
      </c>
      <c r="J43" s="448"/>
      <c r="K43" s="483">
        <f t="shared" si="37"/>
        <v>0</v>
      </c>
      <c r="L43" s="448"/>
      <c r="M43" s="448"/>
      <c r="N43" s="483"/>
      <c r="O43" s="448"/>
      <c r="P43" s="448"/>
      <c r="Q43" s="501">
        <f t="shared" si="47"/>
        <v>460</v>
      </c>
      <c r="R43" s="481">
        <v>437</v>
      </c>
      <c r="S43" s="481">
        <v>23</v>
      </c>
      <c r="T43" s="533"/>
      <c r="U43" s="448"/>
      <c r="V43" s="448"/>
      <c r="W43" s="448"/>
      <c r="X43" s="445"/>
      <c r="Y43" s="448"/>
      <c r="Z43" s="448"/>
      <c r="AA43" s="448"/>
      <c r="AB43" s="483"/>
      <c r="AC43" s="483"/>
      <c r="AD43" s="448"/>
      <c r="AE43" s="483"/>
      <c r="AF43" s="483"/>
      <c r="AG43" s="447">
        <f t="shared" si="48"/>
        <v>460</v>
      </c>
      <c r="AH43" s="481">
        <v>437</v>
      </c>
      <c r="AI43" s="481">
        <v>23</v>
      </c>
      <c r="AJ43" s="448"/>
      <c r="AK43" s="448"/>
      <c r="AL43" s="145"/>
      <c r="AM43" s="369"/>
      <c r="AN43" s="369"/>
      <c r="AO43" s="369"/>
    </row>
    <row r="44" spans="1:41" s="146" customFormat="1" ht="45">
      <c r="A44" s="141">
        <f t="shared" si="41"/>
        <v>14</v>
      </c>
      <c r="B44" s="325" t="s">
        <v>114</v>
      </c>
      <c r="C44" s="141" t="s">
        <v>115</v>
      </c>
      <c r="D44" s="141"/>
      <c r="E44" s="141" t="s">
        <v>116</v>
      </c>
      <c r="F44" s="141" t="s">
        <v>55</v>
      </c>
      <c r="G44" s="447">
        <f t="shared" si="28"/>
        <v>840</v>
      </c>
      <c r="H44" s="447">
        <v>800</v>
      </c>
      <c r="I44" s="447">
        <v>40</v>
      </c>
      <c r="J44" s="448">
        <v>0</v>
      </c>
      <c r="K44" s="483">
        <f t="shared" si="37"/>
        <v>0</v>
      </c>
      <c r="L44" s="448"/>
      <c r="M44" s="448"/>
      <c r="N44" s="483"/>
      <c r="O44" s="448"/>
      <c r="P44" s="448"/>
      <c r="Q44" s="501">
        <f t="shared" si="47"/>
        <v>840</v>
      </c>
      <c r="R44" s="481">
        <v>800</v>
      </c>
      <c r="S44" s="481">
        <v>40</v>
      </c>
      <c r="T44" s="533"/>
      <c r="U44" s="448">
        <f t="shared" si="39"/>
        <v>0</v>
      </c>
      <c r="V44" s="448">
        <f t="shared" si="36"/>
        <v>0</v>
      </c>
      <c r="W44" s="448">
        <f t="shared" si="36"/>
        <v>0</v>
      </c>
      <c r="X44" s="445">
        <f t="shared" si="21"/>
        <v>0</v>
      </c>
      <c r="Y44" s="448"/>
      <c r="Z44" s="448"/>
      <c r="AA44" s="448"/>
      <c r="AB44" s="483"/>
      <c r="AC44" s="483"/>
      <c r="AD44" s="448"/>
      <c r="AE44" s="483"/>
      <c r="AF44" s="483"/>
      <c r="AG44" s="447">
        <f t="shared" si="48"/>
        <v>840</v>
      </c>
      <c r="AH44" s="481">
        <v>800</v>
      </c>
      <c r="AI44" s="481">
        <v>40</v>
      </c>
      <c r="AJ44" s="448"/>
      <c r="AK44" s="448"/>
      <c r="AL44" s="145"/>
      <c r="AM44" s="369"/>
      <c r="AN44" s="369"/>
      <c r="AO44" s="369"/>
    </row>
    <row r="45" spans="1:41" s="14" customFormat="1" ht="23.25" customHeight="1">
      <c r="A45" s="4" t="s">
        <v>989</v>
      </c>
      <c r="B45" s="507" t="s">
        <v>118</v>
      </c>
      <c r="C45" s="4"/>
      <c r="D45" s="4"/>
      <c r="E45" s="417">
        <v>0</v>
      </c>
      <c r="F45" s="417"/>
      <c r="G45" s="446">
        <f>SUM(G46:G54)</f>
        <v>9025.7000000000007</v>
      </c>
      <c r="H45" s="446">
        <f t="shared" ref="H45:S45" si="49">SUM(H46:H54)</f>
        <v>8595.9000000000015</v>
      </c>
      <c r="I45" s="446">
        <f t="shared" si="49"/>
        <v>429.8</v>
      </c>
      <c r="J45" s="446">
        <f t="shared" si="49"/>
        <v>0</v>
      </c>
      <c r="K45" s="446">
        <f t="shared" si="49"/>
        <v>745.09999999999991</v>
      </c>
      <c r="L45" s="446">
        <f t="shared" si="49"/>
        <v>732.09999999999991</v>
      </c>
      <c r="M45" s="446">
        <f t="shared" si="49"/>
        <v>13</v>
      </c>
      <c r="N45" s="446">
        <f t="shared" si="49"/>
        <v>745.1</v>
      </c>
      <c r="O45" s="446">
        <f t="shared" si="49"/>
        <v>732.1</v>
      </c>
      <c r="P45" s="446">
        <f t="shared" si="49"/>
        <v>12.999999999999996</v>
      </c>
      <c r="Q45" s="446">
        <f t="shared" si="49"/>
        <v>9025.6999999999989</v>
      </c>
      <c r="R45" s="446">
        <f t="shared" si="49"/>
        <v>8595.9</v>
      </c>
      <c r="S45" s="446">
        <f t="shared" si="49"/>
        <v>429.8</v>
      </c>
      <c r="T45" s="446"/>
      <c r="U45" s="446">
        <f t="shared" ref="U45:AK45" si="50">SUM(U46:U53)</f>
        <v>6026.16</v>
      </c>
      <c r="V45" s="446">
        <f t="shared" si="50"/>
        <v>5715</v>
      </c>
      <c r="W45" s="446">
        <f t="shared" si="50"/>
        <v>311.16000000000003</v>
      </c>
      <c r="X45" s="446">
        <f t="shared" si="50"/>
        <v>1624.46</v>
      </c>
      <c r="Y45" s="446">
        <f t="shared" si="50"/>
        <v>1547.1</v>
      </c>
      <c r="Z45" s="446">
        <f t="shared" si="50"/>
        <v>77.36</v>
      </c>
      <c r="AA45" s="446">
        <f t="shared" si="50"/>
        <v>2186</v>
      </c>
      <c r="AB45" s="482">
        <f t="shared" si="50"/>
        <v>2074</v>
      </c>
      <c r="AC45" s="482">
        <f t="shared" si="50"/>
        <v>112</v>
      </c>
      <c r="AD45" s="446">
        <f t="shared" si="50"/>
        <v>2215.7000000000003</v>
      </c>
      <c r="AE45" s="482">
        <f t="shared" si="50"/>
        <v>2093.9</v>
      </c>
      <c r="AF45" s="482">
        <f t="shared" si="50"/>
        <v>121.8</v>
      </c>
      <c r="AG45" s="446">
        <f>SUM(AG46:AG54)</f>
        <v>2999.54</v>
      </c>
      <c r="AH45" s="446">
        <f t="shared" ref="AH45:AI45" si="51">SUM(AH46:AH54)</f>
        <v>2880.9</v>
      </c>
      <c r="AI45" s="446">
        <f t="shared" si="51"/>
        <v>118.64</v>
      </c>
      <c r="AJ45" s="446"/>
      <c r="AK45" s="446">
        <f t="shared" si="50"/>
        <v>0</v>
      </c>
      <c r="AL45" s="16"/>
      <c r="AM45" s="368">
        <f>+'NĂM 2022'!K30+'NĂM 2023'!N30+'NĂM 2024'!J31+'NĂM 2025'!J30</f>
        <v>9025.7000000000007</v>
      </c>
      <c r="AN45" s="368">
        <f>+'NĂM 2022'!L30+'NĂM 2023'!O30+'NĂM 2024'!K31+'NĂM 2025'!K30</f>
        <v>8595.9000000000015</v>
      </c>
      <c r="AO45" s="368">
        <f>+'NĂM 2022'!M30+'NĂM 2023'!P30+'NĂM 2024'!L31+'NĂM 2025'!L30</f>
        <v>429.8</v>
      </c>
    </row>
    <row r="46" spans="1:41" s="146" customFormat="1" ht="75">
      <c r="A46" s="141">
        <v>1</v>
      </c>
      <c r="B46" s="325" t="s">
        <v>119</v>
      </c>
      <c r="C46" s="141" t="s">
        <v>120</v>
      </c>
      <c r="D46" s="141"/>
      <c r="E46" s="141" t="s">
        <v>94</v>
      </c>
      <c r="F46" s="141" t="s">
        <v>52</v>
      </c>
      <c r="G46" s="447">
        <f t="shared" si="28"/>
        <v>367.5</v>
      </c>
      <c r="H46" s="447">
        <v>350</v>
      </c>
      <c r="I46" s="447">
        <v>17.5</v>
      </c>
      <c r="J46" s="448">
        <v>0</v>
      </c>
      <c r="K46" s="483"/>
      <c r="L46" s="448"/>
      <c r="M46" s="448"/>
      <c r="N46" s="483"/>
      <c r="O46" s="448"/>
      <c r="P46" s="448"/>
      <c r="Q46" s="448">
        <f>+R46+S46</f>
        <v>367.5</v>
      </c>
      <c r="R46" s="448">
        <v>350</v>
      </c>
      <c r="S46" s="448">
        <v>17.5</v>
      </c>
      <c r="T46" s="448"/>
      <c r="U46" s="448">
        <f>+V46+W46</f>
        <v>367.5</v>
      </c>
      <c r="V46" s="448">
        <f>+Y46+AB46+AE46</f>
        <v>350</v>
      </c>
      <c r="W46" s="448">
        <f>+Z46+AC46+AF46</f>
        <v>17.5</v>
      </c>
      <c r="X46" s="445">
        <f t="shared" si="21"/>
        <v>367.5</v>
      </c>
      <c r="Y46" s="447">
        <v>350</v>
      </c>
      <c r="Z46" s="447">
        <v>17.5</v>
      </c>
      <c r="AA46" s="447"/>
      <c r="AB46" s="481"/>
      <c r="AC46" s="481"/>
      <c r="AD46" s="447"/>
      <c r="AE46" s="481"/>
      <c r="AF46" s="481"/>
      <c r="AG46" s="447"/>
      <c r="AH46" s="481"/>
      <c r="AI46" s="481"/>
      <c r="AJ46" s="447"/>
      <c r="AK46" s="448"/>
      <c r="AL46" s="145"/>
      <c r="AM46" s="369">
        <f>+G45-U45</f>
        <v>2999.5400000000009</v>
      </c>
      <c r="AN46" s="369">
        <f>+H45-V45</f>
        <v>2880.9000000000015</v>
      </c>
      <c r="AO46" s="369">
        <f>+I45-W45</f>
        <v>118.63999999999999</v>
      </c>
    </row>
    <row r="47" spans="1:41" s="146" customFormat="1" ht="75">
      <c r="A47" s="141">
        <f>+A46+1</f>
        <v>2</v>
      </c>
      <c r="B47" s="325" t="s">
        <v>121</v>
      </c>
      <c r="C47" s="141" t="s">
        <v>122</v>
      </c>
      <c r="D47" s="141"/>
      <c r="E47" s="141" t="s">
        <v>94</v>
      </c>
      <c r="F47" s="141" t="s">
        <v>52</v>
      </c>
      <c r="G47" s="447">
        <f t="shared" si="28"/>
        <v>367.5</v>
      </c>
      <c r="H47" s="447">
        <v>350</v>
      </c>
      <c r="I47" s="447">
        <v>17.5</v>
      </c>
      <c r="J47" s="448">
        <v>0</v>
      </c>
      <c r="K47" s="483"/>
      <c r="L47" s="448"/>
      <c r="M47" s="448"/>
      <c r="N47" s="483"/>
      <c r="O47" s="448"/>
      <c r="P47" s="448"/>
      <c r="Q47" s="448">
        <f t="shared" ref="Q47:Q51" si="52">+R47+S47</f>
        <v>367.5</v>
      </c>
      <c r="R47" s="448">
        <v>350</v>
      </c>
      <c r="S47" s="448">
        <v>17.5</v>
      </c>
      <c r="T47" s="448"/>
      <c r="U47" s="448">
        <f t="shared" ref="U47:U53" si="53">+V47+W47</f>
        <v>367.5</v>
      </c>
      <c r="V47" s="448">
        <f t="shared" ref="V47:W53" si="54">+Y47+AB47+AE47</f>
        <v>350</v>
      </c>
      <c r="W47" s="448">
        <f t="shared" si="54"/>
        <v>17.5</v>
      </c>
      <c r="X47" s="445">
        <f t="shared" si="21"/>
        <v>367.5</v>
      </c>
      <c r="Y47" s="447">
        <v>350</v>
      </c>
      <c r="Z47" s="447">
        <v>17.5</v>
      </c>
      <c r="AA47" s="447"/>
      <c r="AB47" s="481"/>
      <c r="AC47" s="481"/>
      <c r="AD47" s="447"/>
      <c r="AE47" s="481"/>
      <c r="AF47" s="481"/>
      <c r="AG47" s="447"/>
      <c r="AH47" s="481"/>
      <c r="AI47" s="481"/>
      <c r="AJ47" s="447"/>
      <c r="AK47" s="448"/>
      <c r="AL47" s="145"/>
      <c r="AM47" s="465">
        <f>+AM46-AG45</f>
        <v>0</v>
      </c>
      <c r="AN47" s="465">
        <f t="shared" ref="AN47:AO47" si="55">+AN46-AH45</f>
        <v>0</v>
      </c>
      <c r="AO47" s="369">
        <f t="shared" si="55"/>
        <v>0</v>
      </c>
    </row>
    <row r="48" spans="1:41" s="146" customFormat="1" ht="75">
      <c r="A48" s="141">
        <f t="shared" ref="A48:A54" si="56">+A47+1</f>
        <v>3</v>
      </c>
      <c r="B48" s="325" t="s">
        <v>123</v>
      </c>
      <c r="C48" s="141" t="s">
        <v>124</v>
      </c>
      <c r="D48" s="141"/>
      <c r="E48" s="141" t="s">
        <v>125</v>
      </c>
      <c r="F48" s="141" t="s">
        <v>52</v>
      </c>
      <c r="G48" s="447">
        <f t="shared" si="28"/>
        <v>367.5</v>
      </c>
      <c r="H48" s="447">
        <v>350</v>
      </c>
      <c r="I48" s="447">
        <v>17.5</v>
      </c>
      <c r="J48" s="448">
        <v>0</v>
      </c>
      <c r="K48" s="483"/>
      <c r="L48" s="448"/>
      <c r="M48" s="448"/>
      <c r="N48" s="483"/>
      <c r="O48" s="448"/>
      <c r="P48" s="448"/>
      <c r="Q48" s="448">
        <f t="shared" si="52"/>
        <v>367.5</v>
      </c>
      <c r="R48" s="448">
        <v>350</v>
      </c>
      <c r="S48" s="448">
        <v>17.5</v>
      </c>
      <c r="T48" s="448"/>
      <c r="U48" s="448">
        <f t="shared" si="53"/>
        <v>367.5</v>
      </c>
      <c r="V48" s="448">
        <f t="shared" si="54"/>
        <v>350</v>
      </c>
      <c r="W48" s="448">
        <f t="shared" si="54"/>
        <v>17.5</v>
      </c>
      <c r="X48" s="445">
        <f t="shared" si="21"/>
        <v>367.5</v>
      </c>
      <c r="Y48" s="447">
        <v>350</v>
      </c>
      <c r="Z48" s="447">
        <v>17.5</v>
      </c>
      <c r="AA48" s="447"/>
      <c r="AB48" s="481"/>
      <c r="AC48" s="481"/>
      <c r="AD48" s="447"/>
      <c r="AE48" s="481"/>
      <c r="AF48" s="481"/>
      <c r="AG48" s="447"/>
      <c r="AH48" s="481"/>
      <c r="AI48" s="481"/>
      <c r="AJ48" s="447"/>
      <c r="AK48" s="448"/>
      <c r="AL48" s="145"/>
      <c r="AM48" s="369"/>
      <c r="AN48" s="369"/>
      <c r="AO48" s="369"/>
    </row>
    <row r="49" spans="1:41" s="146" customFormat="1" ht="75">
      <c r="A49" s="141">
        <f t="shared" si="56"/>
        <v>4</v>
      </c>
      <c r="B49" s="325" t="s">
        <v>126</v>
      </c>
      <c r="C49" s="141" t="s">
        <v>127</v>
      </c>
      <c r="D49" s="141"/>
      <c r="E49" s="141" t="s">
        <v>128</v>
      </c>
      <c r="F49" s="141" t="s">
        <v>52</v>
      </c>
      <c r="G49" s="447">
        <f>H49+I49</f>
        <v>521.96</v>
      </c>
      <c r="H49" s="447">
        <v>497.1</v>
      </c>
      <c r="I49" s="447">
        <v>24.86</v>
      </c>
      <c r="J49" s="448">
        <v>0</v>
      </c>
      <c r="K49" s="483"/>
      <c r="L49" s="448"/>
      <c r="M49" s="448"/>
      <c r="N49" s="483"/>
      <c r="O49" s="448"/>
      <c r="P49" s="448"/>
      <c r="Q49" s="448">
        <f t="shared" si="52"/>
        <v>521.96</v>
      </c>
      <c r="R49" s="448">
        <v>497.1</v>
      </c>
      <c r="S49" s="448">
        <v>24.86</v>
      </c>
      <c r="T49" s="448"/>
      <c r="U49" s="448">
        <f t="shared" si="53"/>
        <v>521.96</v>
      </c>
      <c r="V49" s="448">
        <f t="shared" si="54"/>
        <v>497.1</v>
      </c>
      <c r="W49" s="448">
        <f t="shared" si="54"/>
        <v>24.86</v>
      </c>
      <c r="X49" s="445">
        <f t="shared" si="21"/>
        <v>521.96</v>
      </c>
      <c r="Y49" s="447">
        <v>497.1</v>
      </c>
      <c r="Z49" s="447">
        <v>24.86</v>
      </c>
      <c r="AA49" s="447"/>
      <c r="AB49" s="481"/>
      <c r="AC49" s="481"/>
      <c r="AD49" s="447"/>
      <c r="AE49" s="481"/>
      <c r="AF49" s="481"/>
      <c r="AG49" s="447"/>
      <c r="AH49" s="481"/>
      <c r="AI49" s="481"/>
      <c r="AJ49" s="447"/>
      <c r="AK49" s="448"/>
      <c r="AL49" s="145"/>
      <c r="AM49" s="369"/>
      <c r="AN49" s="369"/>
      <c r="AO49" s="369"/>
    </row>
    <row r="50" spans="1:41" s="146" customFormat="1" ht="75">
      <c r="A50" s="141">
        <f t="shared" si="56"/>
        <v>5</v>
      </c>
      <c r="B50" s="325" t="s">
        <v>129</v>
      </c>
      <c r="C50" s="141" t="s">
        <v>127</v>
      </c>
      <c r="D50" s="141"/>
      <c r="E50" s="141" t="s">
        <v>130</v>
      </c>
      <c r="F50" s="141" t="s">
        <v>53</v>
      </c>
      <c r="G50" s="447">
        <f t="shared" si="28"/>
        <v>2625</v>
      </c>
      <c r="H50" s="447">
        <v>2500</v>
      </c>
      <c r="I50" s="447">
        <v>125</v>
      </c>
      <c r="J50" s="448">
        <v>0</v>
      </c>
      <c r="K50" s="483">
        <f>+L50+M50</f>
        <v>439</v>
      </c>
      <c r="L50" s="448">
        <f>+H50-R50</f>
        <v>426</v>
      </c>
      <c r="M50" s="448">
        <f>+I50-S50</f>
        <v>13</v>
      </c>
      <c r="N50" s="483"/>
      <c r="O50" s="448"/>
      <c r="P50" s="448"/>
      <c r="Q50" s="448">
        <f t="shared" si="52"/>
        <v>2186</v>
      </c>
      <c r="R50" s="448">
        <v>2074</v>
      </c>
      <c r="S50" s="448">
        <v>112</v>
      </c>
      <c r="T50" s="448"/>
      <c r="U50" s="448">
        <f t="shared" si="53"/>
        <v>2186</v>
      </c>
      <c r="V50" s="448">
        <f t="shared" si="54"/>
        <v>2074</v>
      </c>
      <c r="W50" s="448">
        <f t="shared" si="54"/>
        <v>112</v>
      </c>
      <c r="X50" s="445">
        <f t="shared" si="21"/>
        <v>0</v>
      </c>
      <c r="Y50" s="448"/>
      <c r="Z50" s="448"/>
      <c r="AA50" s="448">
        <f>+AB50+AC50</f>
        <v>2186</v>
      </c>
      <c r="AB50" s="483">
        <v>2074</v>
      </c>
      <c r="AC50" s="483">
        <v>112</v>
      </c>
      <c r="AD50" s="448"/>
      <c r="AE50" s="483"/>
      <c r="AF50" s="483"/>
      <c r="AG50" s="448"/>
      <c r="AH50" s="483"/>
      <c r="AI50" s="483"/>
      <c r="AJ50" s="448"/>
      <c r="AK50" s="448"/>
      <c r="AL50" s="145"/>
      <c r="AM50" s="369"/>
      <c r="AN50" s="369"/>
      <c r="AO50" s="369"/>
    </row>
    <row r="51" spans="1:41" s="146" customFormat="1" ht="75">
      <c r="A51" s="141">
        <f t="shared" si="56"/>
        <v>6</v>
      </c>
      <c r="B51" s="325" t="s">
        <v>131</v>
      </c>
      <c r="C51" s="141" t="s">
        <v>132</v>
      </c>
      <c r="D51" s="141"/>
      <c r="E51" s="141" t="s">
        <v>130</v>
      </c>
      <c r="F51" s="141" t="s">
        <v>54</v>
      </c>
      <c r="G51" s="447">
        <f t="shared" si="28"/>
        <v>2520</v>
      </c>
      <c r="H51" s="447">
        <v>2400</v>
      </c>
      <c r="I51" s="447">
        <v>120</v>
      </c>
      <c r="J51" s="448">
        <v>0</v>
      </c>
      <c r="K51" s="483">
        <f>+L51+M51</f>
        <v>306.09999999999991</v>
      </c>
      <c r="L51" s="448">
        <f>+H51-R51</f>
        <v>306.09999999999991</v>
      </c>
      <c r="M51" s="448"/>
      <c r="N51" s="483">
        <f>+O51+P51</f>
        <v>1.7999999999999972</v>
      </c>
      <c r="O51" s="448"/>
      <c r="P51" s="448">
        <f>+S51-I51</f>
        <v>1.7999999999999972</v>
      </c>
      <c r="Q51" s="448">
        <f t="shared" si="52"/>
        <v>2215.7000000000003</v>
      </c>
      <c r="R51" s="448">
        <v>2093.9</v>
      </c>
      <c r="S51" s="448">
        <v>121.8</v>
      </c>
      <c r="T51" s="448"/>
      <c r="U51" s="448">
        <f t="shared" si="53"/>
        <v>2215.7000000000003</v>
      </c>
      <c r="V51" s="448">
        <f t="shared" si="54"/>
        <v>2093.9</v>
      </c>
      <c r="W51" s="448">
        <f t="shared" si="54"/>
        <v>121.8</v>
      </c>
      <c r="X51" s="445">
        <f t="shared" si="21"/>
        <v>0</v>
      </c>
      <c r="Y51" s="448"/>
      <c r="Z51" s="448"/>
      <c r="AA51" s="448"/>
      <c r="AB51" s="483"/>
      <c r="AC51" s="483"/>
      <c r="AD51" s="448">
        <f>+AE51+AF51</f>
        <v>2215.7000000000003</v>
      </c>
      <c r="AE51" s="483">
        <v>2093.9</v>
      </c>
      <c r="AF51" s="483">
        <v>121.8</v>
      </c>
      <c r="AG51" s="448"/>
      <c r="AH51" s="483"/>
      <c r="AI51" s="483"/>
      <c r="AJ51" s="448"/>
      <c r="AK51" s="448"/>
      <c r="AL51" s="145"/>
      <c r="AM51" s="369"/>
      <c r="AN51" s="369"/>
      <c r="AO51" s="369"/>
    </row>
    <row r="52" spans="1:41" s="146" customFormat="1" ht="75">
      <c r="A52" s="141">
        <f t="shared" si="56"/>
        <v>7</v>
      </c>
      <c r="B52" s="325" t="s">
        <v>133</v>
      </c>
      <c r="C52" s="141" t="s">
        <v>134</v>
      </c>
      <c r="D52" s="141"/>
      <c r="E52" s="141" t="s">
        <v>128</v>
      </c>
      <c r="F52" s="141" t="s">
        <v>55</v>
      </c>
      <c r="G52" s="447">
        <f t="shared" si="28"/>
        <v>1626.24</v>
      </c>
      <c r="H52" s="447">
        <v>1548.8</v>
      </c>
      <c r="I52" s="447">
        <v>77.44</v>
      </c>
      <c r="J52" s="448">
        <v>0</v>
      </c>
      <c r="K52" s="483"/>
      <c r="L52" s="448"/>
      <c r="M52" s="448"/>
      <c r="N52" s="483">
        <f t="shared" ref="N52:N53" si="57">+O52+P52</f>
        <v>0</v>
      </c>
      <c r="O52" s="448"/>
      <c r="P52" s="448"/>
      <c r="Q52" s="447">
        <f t="shared" ref="Q52:Q54" si="58">R52+S52</f>
        <v>1626.24</v>
      </c>
      <c r="R52" s="481">
        <v>1548.8</v>
      </c>
      <c r="S52" s="481">
        <v>77.44</v>
      </c>
      <c r="T52" s="448"/>
      <c r="U52" s="448">
        <f t="shared" si="53"/>
        <v>0</v>
      </c>
      <c r="V52" s="448">
        <f t="shared" ref="V52:V53" si="59">+Y52+AB52+AD52</f>
        <v>0</v>
      </c>
      <c r="W52" s="448">
        <f t="shared" si="54"/>
        <v>0</v>
      </c>
      <c r="X52" s="445">
        <f t="shared" si="21"/>
        <v>0</v>
      </c>
      <c r="Y52" s="448"/>
      <c r="Z52" s="448"/>
      <c r="AA52" s="448"/>
      <c r="AB52" s="483"/>
      <c r="AC52" s="483"/>
      <c r="AD52" s="448"/>
      <c r="AE52" s="483"/>
      <c r="AF52" s="483"/>
      <c r="AG52" s="447">
        <f t="shared" ref="AG52:AG54" si="60">AH52+AI52</f>
        <v>1626.24</v>
      </c>
      <c r="AH52" s="481">
        <v>1548.8</v>
      </c>
      <c r="AI52" s="481">
        <v>77.44</v>
      </c>
      <c r="AJ52" s="448"/>
      <c r="AK52" s="448"/>
      <c r="AL52" s="145"/>
      <c r="AM52" s="369"/>
      <c r="AN52" s="369"/>
      <c r="AO52" s="369"/>
    </row>
    <row r="53" spans="1:41" s="146" customFormat="1" ht="30">
      <c r="A53" s="141">
        <f t="shared" si="56"/>
        <v>8</v>
      </c>
      <c r="B53" s="325" t="s">
        <v>135</v>
      </c>
      <c r="C53" s="141" t="s">
        <v>134</v>
      </c>
      <c r="D53" s="141"/>
      <c r="E53" s="141" t="s">
        <v>136</v>
      </c>
      <c r="F53" s="141" t="s">
        <v>55</v>
      </c>
      <c r="G53" s="447">
        <f t="shared" si="28"/>
        <v>630</v>
      </c>
      <c r="H53" s="447">
        <v>600</v>
      </c>
      <c r="I53" s="447">
        <v>30</v>
      </c>
      <c r="J53" s="448">
        <v>0</v>
      </c>
      <c r="K53" s="483"/>
      <c r="L53" s="448"/>
      <c r="M53" s="448"/>
      <c r="N53" s="483">
        <f t="shared" si="57"/>
        <v>0</v>
      </c>
      <c r="O53" s="448"/>
      <c r="P53" s="448"/>
      <c r="Q53" s="447">
        <f t="shared" si="58"/>
        <v>630</v>
      </c>
      <c r="R53" s="481">
        <v>600</v>
      </c>
      <c r="S53" s="481">
        <v>30</v>
      </c>
      <c r="T53" s="448"/>
      <c r="U53" s="448">
        <f t="shared" si="53"/>
        <v>0</v>
      </c>
      <c r="V53" s="448">
        <f t="shared" si="59"/>
        <v>0</v>
      </c>
      <c r="W53" s="448">
        <f t="shared" si="54"/>
        <v>0</v>
      </c>
      <c r="X53" s="445">
        <f t="shared" si="21"/>
        <v>0</v>
      </c>
      <c r="Y53" s="448"/>
      <c r="Z53" s="448"/>
      <c r="AA53" s="448"/>
      <c r="AB53" s="483"/>
      <c r="AC53" s="483"/>
      <c r="AD53" s="448"/>
      <c r="AE53" s="483"/>
      <c r="AF53" s="483"/>
      <c r="AG53" s="447">
        <f t="shared" si="60"/>
        <v>630</v>
      </c>
      <c r="AH53" s="481">
        <v>600</v>
      </c>
      <c r="AI53" s="481">
        <v>30</v>
      </c>
      <c r="AJ53" s="448"/>
      <c r="AK53" s="448"/>
      <c r="AL53" s="145"/>
      <c r="AM53" s="369"/>
      <c r="AN53" s="369"/>
      <c r="AO53" s="369"/>
    </row>
    <row r="54" spans="1:41" s="146" customFormat="1" ht="45">
      <c r="A54" s="141">
        <f t="shared" si="56"/>
        <v>9</v>
      </c>
      <c r="B54" s="325" t="s">
        <v>1168</v>
      </c>
      <c r="C54" s="141" t="s">
        <v>134</v>
      </c>
      <c r="D54" s="141"/>
      <c r="E54" s="141" t="s">
        <v>136</v>
      </c>
      <c r="F54" s="141" t="s">
        <v>55</v>
      </c>
      <c r="G54" s="447"/>
      <c r="H54" s="447"/>
      <c r="I54" s="447"/>
      <c r="J54" s="448"/>
      <c r="K54" s="483"/>
      <c r="L54" s="448"/>
      <c r="M54" s="448"/>
      <c r="N54" s="447">
        <f t="shared" ref="N54" si="61">O54+P54</f>
        <v>743.30000000000007</v>
      </c>
      <c r="O54" s="481">
        <v>732.1</v>
      </c>
      <c r="P54" s="481">
        <v>11.2</v>
      </c>
      <c r="Q54" s="447">
        <f t="shared" si="58"/>
        <v>743.30000000000007</v>
      </c>
      <c r="R54" s="481">
        <v>732.1</v>
      </c>
      <c r="S54" s="481">
        <v>11.2</v>
      </c>
      <c r="T54" s="533" t="s">
        <v>1166</v>
      </c>
      <c r="U54" s="448"/>
      <c r="V54" s="448"/>
      <c r="W54" s="448"/>
      <c r="X54" s="445"/>
      <c r="Y54" s="448"/>
      <c r="Z54" s="448"/>
      <c r="AA54" s="448"/>
      <c r="AB54" s="483"/>
      <c r="AC54" s="483"/>
      <c r="AD54" s="448"/>
      <c r="AE54" s="483"/>
      <c r="AF54" s="483"/>
      <c r="AG54" s="447">
        <f t="shared" si="60"/>
        <v>743.30000000000007</v>
      </c>
      <c r="AH54" s="481">
        <v>732.1</v>
      </c>
      <c r="AI54" s="481">
        <v>11.2</v>
      </c>
      <c r="AJ54" s="448"/>
      <c r="AK54" s="448"/>
      <c r="AL54" s="145"/>
      <c r="AM54" s="369"/>
      <c r="AN54" s="369"/>
      <c r="AO54" s="369"/>
    </row>
    <row r="55" spans="1:41" s="18" customFormat="1" ht="23.25" customHeight="1">
      <c r="A55" s="4" t="s">
        <v>990</v>
      </c>
      <c r="B55" s="507" t="s">
        <v>138</v>
      </c>
      <c r="C55" s="418"/>
      <c r="D55" s="418"/>
      <c r="E55" s="417">
        <v>0</v>
      </c>
      <c r="F55" s="417"/>
      <c r="G55" s="446">
        <f t="shared" ref="G55:W55" si="62">SUM(G56:G67)</f>
        <v>11111.36</v>
      </c>
      <c r="H55" s="446">
        <f t="shared" si="62"/>
        <v>10582.15</v>
      </c>
      <c r="I55" s="446">
        <f t="shared" si="62"/>
        <v>529.21</v>
      </c>
      <c r="J55" s="446">
        <f t="shared" si="62"/>
        <v>0</v>
      </c>
      <c r="K55" s="446">
        <f t="shared" si="62"/>
        <v>2417.63</v>
      </c>
      <c r="L55" s="446">
        <f t="shared" si="62"/>
        <v>2289.8300000000004</v>
      </c>
      <c r="M55" s="446">
        <f t="shared" si="62"/>
        <v>127.80000000000001</v>
      </c>
      <c r="N55" s="446">
        <f t="shared" si="62"/>
        <v>2417.63</v>
      </c>
      <c r="O55" s="446">
        <f t="shared" si="62"/>
        <v>2289.83</v>
      </c>
      <c r="P55" s="446">
        <f t="shared" si="62"/>
        <v>127.8</v>
      </c>
      <c r="Q55" s="446">
        <f t="shared" si="62"/>
        <v>11111.36</v>
      </c>
      <c r="R55" s="446">
        <f t="shared" si="62"/>
        <v>10582.150000000001</v>
      </c>
      <c r="S55" s="446">
        <f t="shared" si="62"/>
        <v>529.21</v>
      </c>
      <c r="T55" s="446">
        <f t="shared" si="62"/>
        <v>0</v>
      </c>
      <c r="U55" s="446">
        <f t="shared" si="62"/>
        <v>7424.9499999999989</v>
      </c>
      <c r="V55" s="446">
        <f t="shared" si="62"/>
        <v>7041.3200000000006</v>
      </c>
      <c r="W55" s="446">
        <f t="shared" si="62"/>
        <v>383.62999999999994</v>
      </c>
      <c r="X55" s="446">
        <f t="shared" ref="X55:AF55" si="63">SUM(X56:X62)</f>
        <v>2003.6999999999998</v>
      </c>
      <c r="Y55" s="446">
        <f t="shared" si="63"/>
        <v>1908.12</v>
      </c>
      <c r="Z55" s="446">
        <f t="shared" si="63"/>
        <v>95.58</v>
      </c>
      <c r="AA55" s="446">
        <f t="shared" si="63"/>
        <v>2692.35</v>
      </c>
      <c r="AB55" s="446">
        <f t="shared" si="63"/>
        <v>2554.4</v>
      </c>
      <c r="AC55" s="446">
        <f t="shared" si="63"/>
        <v>137.94999999999999</v>
      </c>
      <c r="AD55" s="446">
        <f t="shared" si="63"/>
        <v>1106</v>
      </c>
      <c r="AE55" s="446">
        <f t="shared" si="63"/>
        <v>1045.0999999999999</v>
      </c>
      <c r="AF55" s="446">
        <f t="shared" si="63"/>
        <v>60.9</v>
      </c>
      <c r="AG55" s="446">
        <f>SUM(AG56:AG67)</f>
        <v>3686.41</v>
      </c>
      <c r="AH55" s="446">
        <f>SUM(AH56:AH67)</f>
        <v>3540.83</v>
      </c>
      <c r="AI55" s="446">
        <f>SUM(AI56:AI67)</f>
        <v>145.57999999999998</v>
      </c>
      <c r="AJ55" s="446"/>
      <c r="AK55" s="446">
        <f>SUM(AK56:AK62)</f>
        <v>0</v>
      </c>
      <c r="AL55" s="16"/>
      <c r="AM55" s="371">
        <f>+'NĂM 2022'!K35+'NĂM 2023'!N32+'NĂM 2024'!J33+'NĂM 2025'!J33</f>
        <v>11111.359999999999</v>
      </c>
      <c r="AN55" s="371">
        <f>+'NĂM 2022'!L35+'NĂM 2023'!O32+'NĂM 2024'!K33+'NĂM 2025'!K33</f>
        <v>10582.15</v>
      </c>
      <c r="AO55" s="371">
        <f>+'NĂM 2022'!M35+'NĂM 2023'!P32+'NĂM 2024'!L33+'NĂM 2025'!L33</f>
        <v>529.21</v>
      </c>
    </row>
    <row r="56" spans="1:41" ht="45">
      <c r="A56" s="8">
        <v>1</v>
      </c>
      <c r="B56" s="328" t="s">
        <v>139</v>
      </c>
      <c r="C56" s="8" t="s">
        <v>140</v>
      </c>
      <c r="D56" s="8"/>
      <c r="E56" s="22" t="s">
        <v>141</v>
      </c>
      <c r="F56" s="8" t="s">
        <v>52</v>
      </c>
      <c r="G56" s="445">
        <f>H56+I56</f>
        <v>735</v>
      </c>
      <c r="H56" s="445">
        <v>700</v>
      </c>
      <c r="I56" s="445">
        <v>35</v>
      </c>
      <c r="J56" s="451">
        <v>0</v>
      </c>
      <c r="K56" s="483"/>
      <c r="L56" s="451"/>
      <c r="M56" s="451"/>
      <c r="N56" s="483"/>
      <c r="O56" s="451"/>
      <c r="P56" s="451"/>
      <c r="Q56" s="466">
        <f>+R56+S56</f>
        <v>735</v>
      </c>
      <c r="R56" s="451">
        <v>700</v>
      </c>
      <c r="S56" s="451">
        <v>35</v>
      </c>
      <c r="T56" s="451"/>
      <c r="U56" s="451">
        <f>+V56+W56</f>
        <v>735</v>
      </c>
      <c r="V56" s="451">
        <f>+Y56+AB56+AE56</f>
        <v>700</v>
      </c>
      <c r="W56" s="451">
        <f>+Z56+AC56+AF56</f>
        <v>35</v>
      </c>
      <c r="X56" s="445">
        <f>Y56+Z56</f>
        <v>735</v>
      </c>
      <c r="Y56" s="445">
        <v>700</v>
      </c>
      <c r="Z56" s="445">
        <v>35</v>
      </c>
      <c r="AA56" s="445"/>
      <c r="AB56" s="481"/>
      <c r="AC56" s="481"/>
      <c r="AD56" s="445"/>
      <c r="AE56" s="481"/>
      <c r="AF56" s="481"/>
      <c r="AG56" s="445"/>
      <c r="AH56" s="481"/>
      <c r="AI56" s="481"/>
      <c r="AJ56" s="445"/>
      <c r="AK56" s="451"/>
      <c r="AL56" s="15"/>
      <c r="AM56" s="506">
        <f>+G55-U55</f>
        <v>3686.4100000000017</v>
      </c>
      <c r="AN56" s="506">
        <f>+H55-V55</f>
        <v>3540.829999999999</v>
      </c>
      <c r="AO56" s="506">
        <f>+I55-W55</f>
        <v>145.5800000000001</v>
      </c>
    </row>
    <row r="57" spans="1:41" s="146" customFormat="1" ht="45">
      <c r="A57" s="141">
        <f>+A56+1</f>
        <v>2</v>
      </c>
      <c r="B57" s="325" t="s">
        <v>827</v>
      </c>
      <c r="C57" s="141" t="s">
        <v>140</v>
      </c>
      <c r="D57" s="141"/>
      <c r="E57" s="22" t="s">
        <v>142</v>
      </c>
      <c r="F57" s="141" t="s">
        <v>52</v>
      </c>
      <c r="G57" s="445">
        <f t="shared" si="28"/>
        <v>331.8</v>
      </c>
      <c r="H57" s="445">
        <v>316</v>
      </c>
      <c r="I57" s="445">
        <v>15.8</v>
      </c>
      <c r="J57" s="448">
        <v>0</v>
      </c>
      <c r="K57" s="483"/>
      <c r="L57" s="448"/>
      <c r="M57" s="448"/>
      <c r="N57" s="483"/>
      <c r="O57" s="448"/>
      <c r="P57" s="448"/>
      <c r="Q57" s="466">
        <f t="shared" ref="Q57:Q62" si="64">+R57+S57</f>
        <v>331.8</v>
      </c>
      <c r="R57" s="448">
        <v>316</v>
      </c>
      <c r="S57" s="448">
        <v>15.8</v>
      </c>
      <c r="T57" s="448"/>
      <c r="U57" s="451">
        <f t="shared" ref="U57:U62" si="65">+V57+W57</f>
        <v>331.8</v>
      </c>
      <c r="V57" s="451">
        <f t="shared" ref="V57:W62" si="66">+Y57+AB57+AE57</f>
        <v>316</v>
      </c>
      <c r="W57" s="451">
        <f t="shared" si="66"/>
        <v>15.8</v>
      </c>
      <c r="X57" s="445">
        <f t="shared" si="21"/>
        <v>331.8</v>
      </c>
      <c r="Y57" s="445">
        <v>316</v>
      </c>
      <c r="Z57" s="445">
        <v>15.8</v>
      </c>
      <c r="AA57" s="445"/>
      <c r="AB57" s="481"/>
      <c r="AC57" s="481"/>
      <c r="AD57" s="445"/>
      <c r="AE57" s="481"/>
      <c r="AF57" s="481"/>
      <c r="AG57" s="445"/>
      <c r="AH57" s="481"/>
      <c r="AI57" s="481"/>
      <c r="AJ57" s="445"/>
      <c r="AK57" s="448"/>
      <c r="AL57" s="145"/>
      <c r="AM57" s="471">
        <f>+AM56-AG55</f>
        <v>0</v>
      </c>
      <c r="AN57" s="471">
        <f t="shared" ref="AN57:AO57" si="67">+AN56-AH55</f>
        <v>0</v>
      </c>
      <c r="AO57" s="471">
        <f t="shared" si="67"/>
        <v>0</v>
      </c>
    </row>
    <row r="58" spans="1:41" ht="30">
      <c r="A58" s="141">
        <f t="shared" ref="A58:A67" si="68">+A57+1</f>
        <v>3</v>
      </c>
      <c r="B58" s="325" t="s">
        <v>143</v>
      </c>
      <c r="C58" s="141" t="s">
        <v>140</v>
      </c>
      <c r="D58" s="8"/>
      <c r="E58" s="8" t="s">
        <v>828</v>
      </c>
      <c r="F58" s="141" t="s">
        <v>52</v>
      </c>
      <c r="G58" s="445">
        <f>H58+I58</f>
        <v>936.9</v>
      </c>
      <c r="H58" s="445">
        <v>892.12</v>
      </c>
      <c r="I58" s="445">
        <v>44.78</v>
      </c>
      <c r="J58" s="451">
        <v>0</v>
      </c>
      <c r="K58" s="483"/>
      <c r="L58" s="451"/>
      <c r="M58" s="451"/>
      <c r="N58" s="483"/>
      <c r="O58" s="451"/>
      <c r="P58" s="451"/>
      <c r="Q58" s="466">
        <f t="shared" si="64"/>
        <v>936.9</v>
      </c>
      <c r="R58" s="451">
        <v>892.12</v>
      </c>
      <c r="S58" s="451">
        <v>44.78</v>
      </c>
      <c r="T58" s="451"/>
      <c r="U58" s="451">
        <f t="shared" si="65"/>
        <v>936.9</v>
      </c>
      <c r="V58" s="451">
        <f t="shared" si="66"/>
        <v>892.12</v>
      </c>
      <c r="W58" s="451">
        <f t="shared" si="66"/>
        <v>44.78</v>
      </c>
      <c r="X58" s="445">
        <f>Y58+Z58</f>
        <v>936.9</v>
      </c>
      <c r="Y58" s="445">
        <v>892.12</v>
      </c>
      <c r="Z58" s="445">
        <v>44.78</v>
      </c>
      <c r="AA58" s="445"/>
      <c r="AB58" s="481"/>
      <c r="AC58" s="481"/>
      <c r="AD58" s="445"/>
      <c r="AE58" s="481"/>
      <c r="AF58" s="481"/>
      <c r="AG58" s="445"/>
      <c r="AH58" s="481"/>
      <c r="AI58" s="481"/>
      <c r="AJ58" s="445"/>
      <c r="AK58" s="451"/>
      <c r="AL58" s="15"/>
    </row>
    <row r="59" spans="1:41" s="146" customFormat="1" ht="30">
      <c r="A59" s="141">
        <f t="shared" si="68"/>
        <v>4</v>
      </c>
      <c r="B59" s="325" t="s">
        <v>825</v>
      </c>
      <c r="C59" s="141" t="s">
        <v>144</v>
      </c>
      <c r="D59" s="141"/>
      <c r="E59" s="141" t="s">
        <v>826</v>
      </c>
      <c r="F59" s="141" t="s">
        <v>53</v>
      </c>
      <c r="G59" s="447">
        <f>H59+I59</f>
        <v>3000.9</v>
      </c>
      <c r="H59" s="445">
        <v>2858</v>
      </c>
      <c r="I59" s="445">
        <v>142.9</v>
      </c>
      <c r="J59" s="448">
        <v>0</v>
      </c>
      <c r="K59" s="483">
        <f>+L59+M59</f>
        <v>2308.7999999999997</v>
      </c>
      <c r="L59" s="448">
        <f>+H59-R59</f>
        <v>2208.6</v>
      </c>
      <c r="M59" s="448">
        <f>+I59-S59</f>
        <v>100.2</v>
      </c>
      <c r="N59" s="483"/>
      <c r="O59" s="448"/>
      <c r="P59" s="448"/>
      <c r="Q59" s="466">
        <f t="shared" si="64"/>
        <v>692.1</v>
      </c>
      <c r="R59" s="448">
        <v>649.4</v>
      </c>
      <c r="S59" s="448">
        <v>42.7</v>
      </c>
      <c r="T59" s="448"/>
      <c r="U59" s="451">
        <f t="shared" si="65"/>
        <v>692.1</v>
      </c>
      <c r="V59" s="451">
        <f t="shared" si="66"/>
        <v>649.4</v>
      </c>
      <c r="W59" s="451">
        <f t="shared" si="66"/>
        <v>42.7</v>
      </c>
      <c r="X59" s="445">
        <f t="shared" si="21"/>
        <v>0</v>
      </c>
      <c r="Y59" s="448"/>
      <c r="Z59" s="448"/>
      <c r="AA59" s="448">
        <f>+AB59+AC59</f>
        <v>692.1</v>
      </c>
      <c r="AB59" s="483">
        <v>649.4</v>
      </c>
      <c r="AC59" s="483">
        <v>42.7</v>
      </c>
      <c r="AD59" s="448"/>
      <c r="AE59" s="483"/>
      <c r="AF59" s="483"/>
      <c r="AG59" s="448"/>
      <c r="AH59" s="483"/>
      <c r="AI59" s="483"/>
      <c r="AJ59" s="448"/>
      <c r="AK59" s="448"/>
      <c r="AL59" s="145"/>
      <c r="AM59" s="369"/>
      <c r="AN59" s="369"/>
      <c r="AO59" s="369"/>
    </row>
    <row r="60" spans="1:41" s="146" customFormat="1" ht="60">
      <c r="A60" s="141">
        <f t="shared" si="68"/>
        <v>5</v>
      </c>
      <c r="B60" s="325" t="s">
        <v>904</v>
      </c>
      <c r="C60" s="141" t="s">
        <v>140</v>
      </c>
      <c r="D60" s="141"/>
      <c r="E60" s="150" t="s">
        <v>905</v>
      </c>
      <c r="F60" s="141" t="s">
        <v>53</v>
      </c>
      <c r="G60" s="447">
        <f t="shared" si="28"/>
        <v>2000.25</v>
      </c>
      <c r="H60" s="445">
        <v>1905</v>
      </c>
      <c r="I60" s="445">
        <v>95.25</v>
      </c>
      <c r="J60" s="448">
        <v>0</v>
      </c>
      <c r="K60" s="483">
        <f>+L60+M60</f>
        <v>0</v>
      </c>
      <c r="L60" s="448">
        <f t="shared" ref="L60:L63" si="69">+H60-R60</f>
        <v>0</v>
      </c>
      <c r="M60" s="448">
        <f t="shared" ref="M60:M63" si="70">+I60-S60</f>
        <v>0</v>
      </c>
      <c r="N60" s="483"/>
      <c r="O60" s="448"/>
      <c r="P60" s="448"/>
      <c r="Q60" s="466">
        <f t="shared" si="64"/>
        <v>2000.25</v>
      </c>
      <c r="R60" s="448">
        <v>1905</v>
      </c>
      <c r="S60" s="448">
        <v>95.25</v>
      </c>
      <c r="T60" s="448"/>
      <c r="U60" s="451">
        <f t="shared" si="65"/>
        <v>2000.25</v>
      </c>
      <c r="V60" s="451">
        <f t="shared" si="66"/>
        <v>1905</v>
      </c>
      <c r="W60" s="451">
        <f t="shared" si="66"/>
        <v>95.25</v>
      </c>
      <c r="X60" s="445">
        <f t="shared" si="21"/>
        <v>0</v>
      </c>
      <c r="Y60" s="448"/>
      <c r="Z60" s="448"/>
      <c r="AA60" s="448">
        <f>+AB60+AC60</f>
        <v>2000.25</v>
      </c>
      <c r="AB60" s="483">
        <v>1905</v>
      </c>
      <c r="AC60" s="483">
        <v>95.25</v>
      </c>
      <c r="AD60" s="448"/>
      <c r="AE60" s="483"/>
      <c r="AF60" s="483"/>
      <c r="AG60" s="448"/>
      <c r="AH60" s="483"/>
      <c r="AI60" s="483"/>
      <c r="AJ60" s="448"/>
      <c r="AK60" s="448"/>
      <c r="AL60" s="145"/>
      <c r="AM60" s="369"/>
      <c r="AN60" s="369"/>
      <c r="AO60" s="369"/>
    </row>
    <row r="61" spans="1:41" ht="54" customHeight="1">
      <c r="A61" s="141">
        <f t="shared" si="68"/>
        <v>6</v>
      </c>
      <c r="B61" s="325" t="s">
        <v>908</v>
      </c>
      <c r="C61" s="141" t="s">
        <v>145</v>
      </c>
      <c r="D61" s="8"/>
      <c r="E61" s="22" t="s">
        <v>142</v>
      </c>
      <c r="F61" s="8" t="s">
        <v>54</v>
      </c>
      <c r="G61" s="445">
        <f t="shared" si="28"/>
        <v>599.51</v>
      </c>
      <c r="H61" s="445">
        <v>571.03</v>
      </c>
      <c r="I61" s="445">
        <v>28.48</v>
      </c>
      <c r="J61" s="451">
        <v>0</v>
      </c>
      <c r="K61" s="483">
        <f>+L61+M61</f>
        <v>4.5299999999999727</v>
      </c>
      <c r="L61" s="448">
        <f t="shared" si="69"/>
        <v>4.5299999999999727</v>
      </c>
      <c r="M61" s="448"/>
      <c r="N61" s="483">
        <f>+O61+P61</f>
        <v>4.5199999999999996</v>
      </c>
      <c r="O61" s="451"/>
      <c r="P61" s="451">
        <f>+S61-I61</f>
        <v>4.5199999999999996</v>
      </c>
      <c r="Q61" s="466">
        <f t="shared" si="64"/>
        <v>599.5</v>
      </c>
      <c r="R61" s="451">
        <v>566.5</v>
      </c>
      <c r="S61" s="451">
        <v>33</v>
      </c>
      <c r="T61" s="451"/>
      <c r="U61" s="451">
        <f t="shared" si="65"/>
        <v>599.5</v>
      </c>
      <c r="V61" s="451">
        <f t="shared" si="66"/>
        <v>566.5</v>
      </c>
      <c r="W61" s="451">
        <f t="shared" si="66"/>
        <v>33</v>
      </c>
      <c r="X61" s="445">
        <f t="shared" si="21"/>
        <v>0</v>
      </c>
      <c r="Y61" s="451"/>
      <c r="Z61" s="451"/>
      <c r="AA61" s="451"/>
      <c r="AB61" s="483"/>
      <c r="AC61" s="483"/>
      <c r="AD61" s="448">
        <f t="shared" ref="AD61:AD62" si="71">+AE61+AF61</f>
        <v>599.5</v>
      </c>
      <c r="AE61" s="483">
        <v>566.5</v>
      </c>
      <c r="AF61" s="483">
        <v>33</v>
      </c>
      <c r="AG61" s="451"/>
      <c r="AH61" s="483"/>
      <c r="AI61" s="483"/>
      <c r="AJ61" s="451"/>
      <c r="AK61" s="451"/>
      <c r="AL61" s="15"/>
    </row>
    <row r="62" spans="1:41" ht="45">
      <c r="A62" s="141">
        <f t="shared" si="68"/>
        <v>7</v>
      </c>
      <c r="B62" s="328" t="s">
        <v>146</v>
      </c>
      <c r="C62" s="8" t="s">
        <v>145</v>
      </c>
      <c r="D62" s="8"/>
      <c r="E62" s="22" t="s">
        <v>142</v>
      </c>
      <c r="F62" s="8" t="s">
        <v>54</v>
      </c>
      <c r="G62" s="445">
        <f t="shared" si="28"/>
        <v>506.1</v>
      </c>
      <c r="H62" s="445">
        <v>482</v>
      </c>
      <c r="I62" s="445">
        <v>24.1</v>
      </c>
      <c r="J62" s="451">
        <v>0</v>
      </c>
      <c r="K62" s="483">
        <f>+L62+M62</f>
        <v>3.3999999999999773</v>
      </c>
      <c r="L62" s="448">
        <f t="shared" si="69"/>
        <v>3.3999999999999773</v>
      </c>
      <c r="M62" s="448"/>
      <c r="N62" s="483">
        <f>+O62+P62</f>
        <v>3.7999999999999972</v>
      </c>
      <c r="O62" s="451"/>
      <c r="P62" s="451">
        <f>+S62-I62</f>
        <v>3.7999999999999972</v>
      </c>
      <c r="Q62" s="466">
        <f t="shared" si="64"/>
        <v>506.5</v>
      </c>
      <c r="R62" s="451">
        <v>478.6</v>
      </c>
      <c r="S62" s="451">
        <v>27.9</v>
      </c>
      <c r="T62" s="451"/>
      <c r="U62" s="451">
        <f t="shared" si="65"/>
        <v>506.5</v>
      </c>
      <c r="V62" s="451">
        <f t="shared" si="66"/>
        <v>478.6</v>
      </c>
      <c r="W62" s="451">
        <f t="shared" si="66"/>
        <v>27.9</v>
      </c>
      <c r="X62" s="445">
        <f t="shared" si="21"/>
        <v>0</v>
      </c>
      <c r="Y62" s="451"/>
      <c r="Z62" s="451"/>
      <c r="AA62" s="451"/>
      <c r="AB62" s="483"/>
      <c r="AC62" s="483"/>
      <c r="AD62" s="448">
        <f t="shared" si="71"/>
        <v>506.5</v>
      </c>
      <c r="AE62" s="483">
        <v>478.6</v>
      </c>
      <c r="AF62" s="483">
        <v>27.9</v>
      </c>
      <c r="AG62" s="451"/>
      <c r="AH62" s="483"/>
      <c r="AI62" s="483"/>
      <c r="AJ62" s="451"/>
      <c r="AK62" s="451"/>
      <c r="AL62" s="15"/>
    </row>
    <row r="63" spans="1:41" ht="60">
      <c r="A63" s="141">
        <f t="shared" si="68"/>
        <v>8</v>
      </c>
      <c r="B63" s="328" t="s">
        <v>1137</v>
      </c>
      <c r="C63" s="8" t="s">
        <v>138</v>
      </c>
      <c r="D63" s="8"/>
      <c r="E63" s="22"/>
      <c r="F63" s="8" t="s">
        <v>1170</v>
      </c>
      <c r="G63" s="447">
        <f>H63+I63</f>
        <v>3000.9</v>
      </c>
      <c r="H63" s="447">
        <v>2858</v>
      </c>
      <c r="I63" s="447">
        <v>142.9</v>
      </c>
      <c r="J63" s="448">
        <v>0</v>
      </c>
      <c r="K63" s="483">
        <f>+L63+M63</f>
        <v>100.90000000000019</v>
      </c>
      <c r="L63" s="448">
        <f t="shared" si="69"/>
        <v>73.300000000000182</v>
      </c>
      <c r="M63" s="448">
        <f t="shared" si="70"/>
        <v>27.600000000000009</v>
      </c>
      <c r="N63" s="483">
        <f>+O63+P63</f>
        <v>0</v>
      </c>
      <c r="O63" s="451"/>
      <c r="P63" s="451"/>
      <c r="Q63" s="451">
        <f>+R63+S63</f>
        <v>2900</v>
      </c>
      <c r="R63" s="483">
        <v>2784.7</v>
      </c>
      <c r="S63" s="483">
        <v>115.3</v>
      </c>
      <c r="T63" s="544" t="s">
        <v>1169</v>
      </c>
      <c r="U63" s="451">
        <f t="shared" ref="U63" si="72">+V63+W63</f>
        <v>1622.9</v>
      </c>
      <c r="V63" s="451">
        <f t="shared" ref="V63" si="73">+Y63+AB63+AE63</f>
        <v>1533.7</v>
      </c>
      <c r="W63" s="451">
        <f t="shared" ref="W63" si="74">+Z63+AC63+AF63</f>
        <v>89.2</v>
      </c>
      <c r="X63" s="445"/>
      <c r="Y63" s="451"/>
      <c r="Z63" s="451"/>
      <c r="AA63" s="451"/>
      <c r="AB63" s="483"/>
      <c r="AC63" s="483"/>
      <c r="AD63" s="448">
        <f>+AE63+AF63</f>
        <v>1622.9</v>
      </c>
      <c r="AE63" s="483">
        <v>1533.7</v>
      </c>
      <c r="AF63" s="483">
        <v>89.2</v>
      </c>
      <c r="AG63" s="451">
        <f t="shared" ref="AG63:AG67" si="75">+AH63+AI63</f>
        <v>1277.0999999999997</v>
      </c>
      <c r="AH63" s="483">
        <f>2784.7-1533.7</f>
        <v>1250.9999999999998</v>
      </c>
      <c r="AI63" s="483">
        <f>115.3-89.2</f>
        <v>26.099999999999994</v>
      </c>
      <c r="AJ63" s="451"/>
      <c r="AK63" s="451"/>
      <c r="AL63" s="451"/>
    </row>
    <row r="64" spans="1:41" ht="60">
      <c r="A64" s="141">
        <f t="shared" si="68"/>
        <v>9</v>
      </c>
      <c r="B64" s="328" t="s">
        <v>1136</v>
      </c>
      <c r="C64" s="8" t="s">
        <v>138</v>
      </c>
      <c r="D64" s="8"/>
      <c r="E64" s="22"/>
      <c r="F64" s="8" t="s">
        <v>55</v>
      </c>
      <c r="G64" s="445"/>
      <c r="H64" s="445"/>
      <c r="I64" s="445"/>
      <c r="J64" s="451"/>
      <c r="K64" s="483"/>
      <c r="L64" s="451"/>
      <c r="M64" s="451"/>
      <c r="N64" s="451">
        <f>+O64+P64</f>
        <v>1249.6100000000001</v>
      </c>
      <c r="O64" s="483">
        <v>1187.1300000000001</v>
      </c>
      <c r="P64" s="483">
        <v>62.48</v>
      </c>
      <c r="Q64" s="451">
        <f>+R64+S64</f>
        <v>1249.6100000000001</v>
      </c>
      <c r="R64" s="483">
        <v>1187.1300000000001</v>
      </c>
      <c r="S64" s="483">
        <v>62.48</v>
      </c>
      <c r="T64" s="533" t="s">
        <v>1166</v>
      </c>
      <c r="U64" s="451"/>
      <c r="V64" s="451"/>
      <c r="W64" s="451"/>
      <c r="X64" s="445"/>
      <c r="Y64" s="451"/>
      <c r="Z64" s="451"/>
      <c r="AA64" s="451"/>
      <c r="AB64" s="483"/>
      <c r="AC64" s="483"/>
      <c r="AD64" s="448"/>
      <c r="AE64" s="483"/>
      <c r="AF64" s="483"/>
      <c r="AG64" s="451">
        <f>+AH64+AI64</f>
        <v>1249.6100000000001</v>
      </c>
      <c r="AH64" s="483">
        <v>1187.1300000000001</v>
      </c>
      <c r="AI64" s="483">
        <v>62.48</v>
      </c>
      <c r="AJ64" s="451"/>
      <c r="AK64" s="451"/>
      <c r="AL64" s="451"/>
    </row>
    <row r="65" spans="1:41" ht="45">
      <c r="A65" s="141">
        <f t="shared" si="68"/>
        <v>10</v>
      </c>
      <c r="B65" s="328" t="s">
        <v>1138</v>
      </c>
      <c r="C65" s="8" t="s">
        <v>1141</v>
      </c>
      <c r="D65" s="8"/>
      <c r="E65" s="22"/>
      <c r="F65" s="8" t="s">
        <v>55</v>
      </c>
      <c r="G65" s="445"/>
      <c r="H65" s="445"/>
      <c r="I65" s="445"/>
      <c r="J65" s="451"/>
      <c r="K65" s="483"/>
      <c r="L65" s="451"/>
      <c r="M65" s="451"/>
      <c r="N65" s="451">
        <f t="shared" ref="N65:N67" si="76">+O65+P65</f>
        <v>400</v>
      </c>
      <c r="O65" s="483">
        <v>380</v>
      </c>
      <c r="P65" s="483">
        <v>20</v>
      </c>
      <c r="Q65" s="451">
        <f t="shared" ref="Q65:Q67" si="77">+R65+S65</f>
        <v>400</v>
      </c>
      <c r="R65" s="483">
        <v>380</v>
      </c>
      <c r="S65" s="483">
        <v>20</v>
      </c>
      <c r="T65" s="533" t="s">
        <v>1166</v>
      </c>
      <c r="U65" s="451"/>
      <c r="V65" s="451"/>
      <c r="W65" s="451"/>
      <c r="X65" s="445"/>
      <c r="Y65" s="451"/>
      <c r="Z65" s="451"/>
      <c r="AA65" s="451"/>
      <c r="AB65" s="483"/>
      <c r="AC65" s="483"/>
      <c r="AD65" s="448"/>
      <c r="AE65" s="483"/>
      <c r="AF65" s="483"/>
      <c r="AG65" s="451">
        <f t="shared" si="75"/>
        <v>400</v>
      </c>
      <c r="AH65" s="483">
        <v>380</v>
      </c>
      <c r="AI65" s="483">
        <v>20</v>
      </c>
      <c r="AJ65" s="451"/>
      <c r="AK65" s="451"/>
      <c r="AL65" s="15"/>
    </row>
    <row r="66" spans="1:41" ht="45">
      <c r="A66" s="141">
        <f t="shared" si="68"/>
        <v>11</v>
      </c>
      <c r="B66" s="328" t="s">
        <v>1139</v>
      </c>
      <c r="C66" s="8" t="s">
        <v>145</v>
      </c>
      <c r="D66" s="8"/>
      <c r="E66" s="22"/>
      <c r="F66" s="8" t="s">
        <v>55</v>
      </c>
      <c r="G66" s="445"/>
      <c r="H66" s="445"/>
      <c r="I66" s="445"/>
      <c r="J66" s="451"/>
      <c r="K66" s="483"/>
      <c r="L66" s="451"/>
      <c r="M66" s="451"/>
      <c r="N66" s="451">
        <f t="shared" si="76"/>
        <v>400</v>
      </c>
      <c r="O66" s="483">
        <v>380</v>
      </c>
      <c r="P66" s="483">
        <v>20</v>
      </c>
      <c r="Q66" s="451">
        <f t="shared" si="77"/>
        <v>400</v>
      </c>
      <c r="R66" s="483">
        <v>380</v>
      </c>
      <c r="S66" s="483">
        <v>20</v>
      </c>
      <c r="T66" s="533" t="s">
        <v>1166</v>
      </c>
      <c r="U66" s="451"/>
      <c r="V66" s="451"/>
      <c r="W66" s="451"/>
      <c r="X66" s="445"/>
      <c r="Y66" s="451"/>
      <c r="Z66" s="451"/>
      <c r="AA66" s="451"/>
      <c r="AB66" s="483"/>
      <c r="AC66" s="483"/>
      <c r="AD66" s="448"/>
      <c r="AE66" s="483"/>
      <c r="AF66" s="483"/>
      <c r="AG66" s="451">
        <f t="shared" si="75"/>
        <v>400</v>
      </c>
      <c r="AH66" s="483">
        <v>380</v>
      </c>
      <c r="AI66" s="483">
        <v>20</v>
      </c>
      <c r="AJ66" s="451"/>
      <c r="AK66" s="451"/>
      <c r="AL66" s="15"/>
    </row>
    <row r="67" spans="1:41" ht="45">
      <c r="A67" s="141">
        <f t="shared" si="68"/>
        <v>12</v>
      </c>
      <c r="B67" s="328" t="s">
        <v>1140</v>
      </c>
      <c r="C67" s="8" t="s">
        <v>140</v>
      </c>
      <c r="D67" s="8"/>
      <c r="E67" s="22"/>
      <c r="F67" s="8" t="s">
        <v>55</v>
      </c>
      <c r="G67" s="445"/>
      <c r="H67" s="445"/>
      <c r="I67" s="445"/>
      <c r="J67" s="451"/>
      <c r="K67" s="483"/>
      <c r="L67" s="451"/>
      <c r="M67" s="451"/>
      <c r="N67" s="451">
        <f t="shared" si="76"/>
        <v>359.7</v>
      </c>
      <c r="O67" s="483">
        <v>342.7</v>
      </c>
      <c r="P67" s="483">
        <v>17</v>
      </c>
      <c r="Q67" s="451">
        <f t="shared" si="77"/>
        <v>359.7</v>
      </c>
      <c r="R67" s="483">
        <v>342.7</v>
      </c>
      <c r="S67" s="483">
        <v>17</v>
      </c>
      <c r="T67" s="533" t="s">
        <v>1166</v>
      </c>
      <c r="U67" s="451"/>
      <c r="V67" s="451"/>
      <c r="W67" s="451"/>
      <c r="X67" s="445"/>
      <c r="Y67" s="451"/>
      <c r="Z67" s="451"/>
      <c r="AA67" s="451"/>
      <c r="AB67" s="483"/>
      <c r="AC67" s="483"/>
      <c r="AD67" s="448"/>
      <c r="AE67" s="483"/>
      <c r="AF67" s="483"/>
      <c r="AG67" s="451">
        <f t="shared" si="75"/>
        <v>359.7</v>
      </c>
      <c r="AH67" s="483">
        <v>342.7</v>
      </c>
      <c r="AI67" s="483">
        <v>17</v>
      </c>
      <c r="AJ67" s="451"/>
      <c r="AK67" s="451"/>
      <c r="AL67" s="15"/>
    </row>
    <row r="68" spans="1:41" s="14" customFormat="1" ht="23.25" customHeight="1">
      <c r="A68" s="4" t="s">
        <v>991</v>
      </c>
      <c r="B68" s="507" t="s">
        <v>148</v>
      </c>
      <c r="C68" s="418"/>
      <c r="D68" s="418"/>
      <c r="E68" s="417">
        <v>0</v>
      </c>
      <c r="F68" s="417"/>
      <c r="G68" s="446">
        <f>SUM(G69:G82)</f>
        <v>10103.24</v>
      </c>
      <c r="H68" s="446">
        <f t="shared" ref="H68:T68" si="78">SUM(H69:H82)</f>
        <v>9621.49</v>
      </c>
      <c r="I68" s="446">
        <f t="shared" si="78"/>
        <v>481.75</v>
      </c>
      <c r="J68" s="446">
        <f t="shared" si="78"/>
        <v>0</v>
      </c>
      <c r="K68" s="446">
        <f t="shared" si="78"/>
        <v>659.27559999999994</v>
      </c>
      <c r="L68" s="446">
        <f t="shared" si="78"/>
        <v>642.63559999999995</v>
      </c>
      <c r="M68" s="446">
        <f t="shared" si="78"/>
        <v>16.64</v>
      </c>
      <c r="N68" s="446">
        <f t="shared" si="78"/>
        <v>659.27559999999994</v>
      </c>
      <c r="O68" s="446">
        <f t="shared" si="78"/>
        <v>642.63559999999995</v>
      </c>
      <c r="P68" s="446">
        <f t="shared" si="78"/>
        <v>16.64</v>
      </c>
      <c r="Q68" s="446">
        <f t="shared" si="78"/>
        <v>10103.239999999998</v>
      </c>
      <c r="R68" s="446">
        <f t="shared" si="78"/>
        <v>9621.49</v>
      </c>
      <c r="S68" s="446">
        <f t="shared" si="78"/>
        <v>481.75</v>
      </c>
      <c r="T68" s="446">
        <f t="shared" si="78"/>
        <v>0</v>
      </c>
      <c r="U68" s="446">
        <f t="shared" ref="U68:W68" si="79">SUM(U69:U81)</f>
        <v>6720.6643999999997</v>
      </c>
      <c r="V68" s="446">
        <f t="shared" si="79"/>
        <v>6372.0544</v>
      </c>
      <c r="W68" s="446">
        <f t="shared" si="79"/>
        <v>348.61</v>
      </c>
      <c r="X68" s="446">
        <f>SUM(X69:X81)</f>
        <v>1818.69</v>
      </c>
      <c r="Y68" s="446">
        <f>SUM(Y69:Y81)</f>
        <v>1731.69</v>
      </c>
      <c r="Z68" s="446">
        <f>SUM(Z69:Z81)</f>
        <v>87</v>
      </c>
      <c r="AA68" s="446">
        <f t="shared" ref="AA68:AF68" si="80">SUM(AA69:AA81)</f>
        <v>2422.0244000000002</v>
      </c>
      <c r="AB68" s="446">
        <f t="shared" si="80"/>
        <v>2296.6644000000001</v>
      </c>
      <c r="AC68" s="446">
        <f t="shared" si="80"/>
        <v>125.36</v>
      </c>
      <c r="AD68" s="446">
        <f t="shared" si="80"/>
        <v>2479.9499999999998</v>
      </c>
      <c r="AE68" s="446">
        <f t="shared" si="80"/>
        <v>2343.6999999999998</v>
      </c>
      <c r="AF68" s="446">
        <f t="shared" si="80"/>
        <v>136.25</v>
      </c>
      <c r="AG68" s="446">
        <f>SUM(AG69:AG82)</f>
        <v>3382.5756000000001</v>
      </c>
      <c r="AH68" s="446">
        <f t="shared" ref="AH68:AI68" si="81">SUM(AH69:AH82)</f>
        <v>3249.4356000000002</v>
      </c>
      <c r="AI68" s="446">
        <f t="shared" si="81"/>
        <v>133.13999999999999</v>
      </c>
      <c r="AJ68" s="446"/>
      <c r="AK68" s="446">
        <f>SUM(AK69:AK81)</f>
        <v>0</v>
      </c>
      <c r="AL68" s="16"/>
      <c r="AM68" s="368">
        <f>+'NĂM 2022'!K39+'NĂM 2023'!N35+'NĂM 2024'!J36+'NĂM 2025'!J35</f>
        <v>10103.240000000002</v>
      </c>
      <c r="AN68" s="368">
        <f>+'NĂM 2022'!L39+'NĂM 2023'!O35+'NĂM 2024'!K36+'NĂM 2025'!K35</f>
        <v>9621.4900000000016</v>
      </c>
      <c r="AO68" s="368">
        <f>+'NĂM 2022'!M39+'NĂM 2023'!P35+'NĂM 2024'!L36+'NĂM 2025'!L35</f>
        <v>481.75</v>
      </c>
    </row>
    <row r="69" spans="1:41" ht="75">
      <c r="A69" s="21">
        <v>1</v>
      </c>
      <c r="B69" s="329" t="s">
        <v>149</v>
      </c>
      <c r="C69" s="21" t="s">
        <v>150</v>
      </c>
      <c r="D69" s="21"/>
      <c r="E69" s="21" t="s">
        <v>151</v>
      </c>
      <c r="F69" s="21" t="s">
        <v>52</v>
      </c>
      <c r="G69" s="445">
        <f t="shared" si="28"/>
        <v>998</v>
      </c>
      <c r="H69" s="445">
        <v>950</v>
      </c>
      <c r="I69" s="445">
        <v>48</v>
      </c>
      <c r="J69" s="451"/>
      <c r="K69" s="483">
        <f>+G69-Q69</f>
        <v>0</v>
      </c>
      <c r="L69" s="451"/>
      <c r="M69" s="451"/>
      <c r="N69" s="483"/>
      <c r="O69" s="451"/>
      <c r="P69" s="451"/>
      <c r="Q69" s="466">
        <f>+R69+S69</f>
        <v>998</v>
      </c>
      <c r="R69" s="451">
        <v>950</v>
      </c>
      <c r="S69" s="451">
        <v>48</v>
      </c>
      <c r="T69" s="451"/>
      <c r="U69" s="451">
        <f>+V69+W69</f>
        <v>998</v>
      </c>
      <c r="V69" s="451">
        <f>+Y69+AB69+AE69</f>
        <v>950</v>
      </c>
      <c r="W69" s="451">
        <f>+Z69+AC69+AF69</f>
        <v>48</v>
      </c>
      <c r="X69" s="445">
        <f t="shared" si="21"/>
        <v>998</v>
      </c>
      <c r="Y69" s="445">
        <v>950</v>
      </c>
      <c r="Z69" s="445">
        <v>48</v>
      </c>
      <c r="AA69" s="445"/>
      <c r="AB69" s="481"/>
      <c r="AC69" s="481"/>
      <c r="AD69" s="445"/>
      <c r="AE69" s="481"/>
      <c r="AF69" s="481"/>
      <c r="AG69" s="445"/>
      <c r="AH69" s="481"/>
      <c r="AI69" s="481"/>
      <c r="AJ69" s="445"/>
      <c r="AK69" s="451"/>
      <c r="AL69" s="15"/>
      <c r="AM69" s="506">
        <f>+G68-U68</f>
        <v>3382.5756000000001</v>
      </c>
      <c r="AN69" s="506">
        <f>+H68-V68</f>
        <v>3249.4355999999998</v>
      </c>
      <c r="AO69" s="506">
        <f>+I68-W68</f>
        <v>133.13999999999999</v>
      </c>
    </row>
    <row r="70" spans="1:41" ht="45">
      <c r="A70" s="21">
        <f>+A69+1</f>
        <v>2</v>
      </c>
      <c r="B70" s="329" t="s">
        <v>152</v>
      </c>
      <c r="C70" s="21" t="s">
        <v>153</v>
      </c>
      <c r="D70" s="21"/>
      <c r="E70" s="21" t="s">
        <v>154</v>
      </c>
      <c r="F70" s="21" t="s">
        <v>52</v>
      </c>
      <c r="G70" s="445">
        <f t="shared" si="28"/>
        <v>820.69</v>
      </c>
      <c r="H70" s="445">
        <v>781.69</v>
      </c>
      <c r="I70" s="445">
        <v>39</v>
      </c>
      <c r="J70" s="451"/>
      <c r="K70" s="483">
        <f t="shared" ref="K70:K81" si="82">+G70-Q70</f>
        <v>0</v>
      </c>
      <c r="L70" s="451"/>
      <c r="M70" s="451"/>
      <c r="N70" s="483"/>
      <c r="O70" s="451"/>
      <c r="P70" s="451"/>
      <c r="Q70" s="466">
        <f t="shared" ref="Q70:Q78" si="83">+R70+S70</f>
        <v>820.69</v>
      </c>
      <c r="R70" s="451">
        <v>781.69</v>
      </c>
      <c r="S70" s="451">
        <v>39</v>
      </c>
      <c r="T70" s="451"/>
      <c r="U70" s="451">
        <f t="shared" ref="U70:U81" si="84">+V70+W70</f>
        <v>820.69</v>
      </c>
      <c r="V70" s="451">
        <f t="shared" ref="V70:W81" si="85">+Y70+AB70+AE70</f>
        <v>781.69</v>
      </c>
      <c r="W70" s="451">
        <f t="shared" si="85"/>
        <v>39</v>
      </c>
      <c r="X70" s="445">
        <f t="shared" si="21"/>
        <v>820.69</v>
      </c>
      <c r="Y70" s="445">
        <v>781.69</v>
      </c>
      <c r="Z70" s="445">
        <v>39</v>
      </c>
      <c r="AA70" s="445"/>
      <c r="AB70" s="481"/>
      <c r="AC70" s="481"/>
      <c r="AD70" s="445"/>
      <c r="AE70" s="481"/>
      <c r="AF70" s="481"/>
      <c r="AG70" s="445"/>
      <c r="AH70" s="481"/>
      <c r="AI70" s="481"/>
      <c r="AJ70" s="445"/>
      <c r="AK70" s="451"/>
      <c r="AL70" s="15"/>
      <c r="AM70" s="515">
        <f>+AM69-AG68</f>
        <v>0</v>
      </c>
      <c r="AN70" s="515">
        <f t="shared" ref="AN70:AO70" si="86">+AN69-AH68</f>
        <v>0</v>
      </c>
      <c r="AO70" s="506">
        <f t="shared" si="86"/>
        <v>0</v>
      </c>
    </row>
    <row r="71" spans="1:41" ht="75">
      <c r="A71" s="21">
        <f t="shared" ref="A71:A82" si="87">+A70+1</f>
        <v>3</v>
      </c>
      <c r="B71" s="329" t="s">
        <v>155</v>
      </c>
      <c r="C71" s="21" t="s">
        <v>156</v>
      </c>
      <c r="D71" s="21"/>
      <c r="E71" s="21" t="s">
        <v>151</v>
      </c>
      <c r="F71" s="21" t="s">
        <v>53</v>
      </c>
      <c r="G71" s="445">
        <f t="shared" si="28"/>
        <v>998</v>
      </c>
      <c r="H71" s="445">
        <v>950</v>
      </c>
      <c r="I71" s="445">
        <v>48</v>
      </c>
      <c r="J71" s="451"/>
      <c r="K71" s="483">
        <f>+L71+M71</f>
        <v>182</v>
      </c>
      <c r="L71" s="451">
        <f>+H71-R71</f>
        <v>176</v>
      </c>
      <c r="M71" s="451">
        <f>+I71-S71</f>
        <v>6</v>
      </c>
      <c r="N71" s="483"/>
      <c r="O71" s="451"/>
      <c r="P71" s="451"/>
      <c r="Q71" s="466">
        <f t="shared" si="83"/>
        <v>816</v>
      </c>
      <c r="R71" s="451">
        <v>774</v>
      </c>
      <c r="S71" s="451">
        <v>42</v>
      </c>
      <c r="T71" s="451"/>
      <c r="U71" s="451">
        <f t="shared" si="84"/>
        <v>816</v>
      </c>
      <c r="V71" s="451">
        <f t="shared" si="85"/>
        <v>774</v>
      </c>
      <c r="W71" s="451">
        <f t="shared" si="85"/>
        <v>42</v>
      </c>
      <c r="X71" s="445">
        <f t="shared" si="21"/>
        <v>0</v>
      </c>
      <c r="Y71" s="451"/>
      <c r="Z71" s="451"/>
      <c r="AA71" s="451">
        <f>+AB71+AC71</f>
        <v>816</v>
      </c>
      <c r="AB71" s="483">
        <v>774</v>
      </c>
      <c r="AC71" s="483">
        <v>42</v>
      </c>
      <c r="AD71" s="451"/>
      <c r="AE71" s="483"/>
      <c r="AF71" s="483"/>
      <c r="AG71" s="451"/>
      <c r="AH71" s="483"/>
      <c r="AI71" s="483"/>
      <c r="AJ71" s="451"/>
      <c r="AK71" s="451"/>
      <c r="AL71" s="15"/>
      <c r="AM71" s="513">
        <f>+AM69-AG79-AG80-AG81</f>
        <v>648.77560000000017</v>
      </c>
      <c r="AN71" s="513">
        <f t="shared" ref="AN71:AO71" si="88">+AN69-AH79-AH80-AH81</f>
        <v>642.63559999999984</v>
      </c>
      <c r="AO71" s="513">
        <f t="shared" si="88"/>
        <v>6.1399999999999864</v>
      </c>
    </row>
    <row r="72" spans="1:41" ht="75">
      <c r="A72" s="21">
        <f t="shared" si="87"/>
        <v>4</v>
      </c>
      <c r="B72" s="329" t="s">
        <v>157</v>
      </c>
      <c r="C72" s="21" t="s">
        <v>158</v>
      </c>
      <c r="D72" s="21"/>
      <c r="E72" s="8" t="s">
        <v>159</v>
      </c>
      <c r="F72" s="21" t="s">
        <v>53</v>
      </c>
      <c r="G72" s="445">
        <f t="shared" si="28"/>
        <v>499</v>
      </c>
      <c r="H72" s="445">
        <v>475</v>
      </c>
      <c r="I72" s="445">
        <v>24</v>
      </c>
      <c r="J72" s="451">
        <v>0</v>
      </c>
      <c r="K72" s="483">
        <f t="shared" ref="K72:K75" si="89">+L72+M72</f>
        <v>91</v>
      </c>
      <c r="L72" s="451">
        <f t="shared" ref="L72:L75" si="90">+H72-R72</f>
        <v>88</v>
      </c>
      <c r="M72" s="451">
        <f t="shared" ref="M72:M74" si="91">+I72-S72</f>
        <v>3</v>
      </c>
      <c r="N72" s="483"/>
      <c r="O72" s="451"/>
      <c r="P72" s="451"/>
      <c r="Q72" s="466">
        <f t="shared" si="83"/>
        <v>408</v>
      </c>
      <c r="R72" s="451">
        <v>387</v>
      </c>
      <c r="S72" s="451">
        <v>21</v>
      </c>
      <c r="T72" s="451"/>
      <c r="U72" s="451">
        <f t="shared" si="84"/>
        <v>408</v>
      </c>
      <c r="V72" s="451">
        <f t="shared" si="85"/>
        <v>387</v>
      </c>
      <c r="W72" s="451">
        <f t="shared" si="85"/>
        <v>21</v>
      </c>
      <c r="X72" s="445">
        <f t="shared" si="21"/>
        <v>0</v>
      </c>
      <c r="Y72" s="451"/>
      <c r="Z72" s="451"/>
      <c r="AA72" s="451">
        <f t="shared" ref="AA72:AA74" si="92">+AB72+AC72</f>
        <v>408</v>
      </c>
      <c r="AB72" s="483">
        <v>387</v>
      </c>
      <c r="AC72" s="483">
        <v>21</v>
      </c>
      <c r="AD72" s="451"/>
      <c r="AE72" s="483"/>
      <c r="AF72" s="483"/>
      <c r="AG72" s="451"/>
      <c r="AH72" s="483"/>
      <c r="AI72" s="483"/>
      <c r="AJ72" s="451"/>
      <c r="AK72" s="451"/>
      <c r="AL72" s="15"/>
    </row>
    <row r="73" spans="1:41" ht="30">
      <c r="A73" s="21">
        <f t="shared" si="87"/>
        <v>5</v>
      </c>
      <c r="B73" s="329" t="s">
        <v>160</v>
      </c>
      <c r="C73" s="21" t="s">
        <v>161</v>
      </c>
      <c r="D73" s="21"/>
      <c r="E73" s="21" t="s">
        <v>162</v>
      </c>
      <c r="F73" s="21" t="s">
        <v>53</v>
      </c>
      <c r="G73" s="445">
        <f t="shared" si="28"/>
        <v>996</v>
      </c>
      <c r="H73" s="445">
        <v>950</v>
      </c>
      <c r="I73" s="445">
        <v>46</v>
      </c>
      <c r="J73" s="451">
        <v>0</v>
      </c>
      <c r="K73" s="483">
        <f t="shared" si="89"/>
        <v>206.8356</v>
      </c>
      <c r="L73" s="451">
        <f t="shared" si="90"/>
        <v>200.8356</v>
      </c>
      <c r="M73" s="451">
        <f t="shared" si="91"/>
        <v>6</v>
      </c>
      <c r="N73" s="483"/>
      <c r="O73" s="451"/>
      <c r="P73" s="451"/>
      <c r="Q73" s="466">
        <f t="shared" si="83"/>
        <v>789.1644</v>
      </c>
      <c r="R73" s="451">
        <v>749.1644</v>
      </c>
      <c r="S73" s="451">
        <v>40</v>
      </c>
      <c r="T73" s="451"/>
      <c r="U73" s="451">
        <f t="shared" si="84"/>
        <v>789.1644</v>
      </c>
      <c r="V73" s="451">
        <f t="shared" si="85"/>
        <v>749.1644</v>
      </c>
      <c r="W73" s="451">
        <f t="shared" si="85"/>
        <v>40</v>
      </c>
      <c r="X73" s="445">
        <f t="shared" si="21"/>
        <v>0</v>
      </c>
      <c r="Y73" s="451"/>
      <c r="Z73" s="451"/>
      <c r="AA73" s="451">
        <f t="shared" si="92"/>
        <v>789.1644</v>
      </c>
      <c r="AB73" s="483">
        <f>774-24.8356</f>
        <v>749.1644</v>
      </c>
      <c r="AC73" s="483">
        <v>40</v>
      </c>
      <c r="AD73" s="451"/>
      <c r="AE73" s="483"/>
      <c r="AF73" s="483"/>
      <c r="AG73" s="451"/>
      <c r="AH73" s="483"/>
      <c r="AI73" s="483"/>
      <c r="AJ73" s="451"/>
      <c r="AK73" s="451"/>
      <c r="AL73" s="15"/>
    </row>
    <row r="74" spans="1:41" ht="30">
      <c r="A74" s="21">
        <f t="shared" si="87"/>
        <v>6</v>
      </c>
      <c r="B74" s="329" t="s">
        <v>163</v>
      </c>
      <c r="C74" s="21" t="s">
        <v>164</v>
      </c>
      <c r="D74" s="21"/>
      <c r="E74" s="21" t="s">
        <v>165</v>
      </c>
      <c r="F74" s="21" t="s">
        <v>53</v>
      </c>
      <c r="G74" s="445">
        <f t="shared" si="28"/>
        <v>499</v>
      </c>
      <c r="H74" s="445">
        <v>475</v>
      </c>
      <c r="I74" s="445">
        <v>24</v>
      </c>
      <c r="J74" s="451">
        <v>0</v>
      </c>
      <c r="K74" s="483">
        <f t="shared" si="89"/>
        <v>90.14</v>
      </c>
      <c r="L74" s="451">
        <f t="shared" si="90"/>
        <v>88.5</v>
      </c>
      <c r="M74" s="451">
        <f t="shared" si="91"/>
        <v>1.6400000000000006</v>
      </c>
      <c r="N74" s="483"/>
      <c r="O74" s="451"/>
      <c r="P74" s="451"/>
      <c r="Q74" s="466">
        <f t="shared" si="83"/>
        <v>408.86</v>
      </c>
      <c r="R74" s="451">
        <v>386.5</v>
      </c>
      <c r="S74" s="451">
        <v>22.36</v>
      </c>
      <c r="T74" s="451"/>
      <c r="U74" s="451">
        <f t="shared" si="84"/>
        <v>408.86</v>
      </c>
      <c r="V74" s="451">
        <f t="shared" si="85"/>
        <v>386.5</v>
      </c>
      <c r="W74" s="451">
        <f t="shared" si="85"/>
        <v>22.36</v>
      </c>
      <c r="X74" s="445">
        <f t="shared" si="21"/>
        <v>0</v>
      </c>
      <c r="Y74" s="451"/>
      <c r="Z74" s="451"/>
      <c r="AA74" s="451">
        <f t="shared" si="92"/>
        <v>408.86</v>
      </c>
      <c r="AB74" s="483">
        <v>386.5</v>
      </c>
      <c r="AC74" s="483">
        <v>22.36</v>
      </c>
      <c r="AD74" s="451"/>
      <c r="AE74" s="483"/>
      <c r="AF74" s="483"/>
      <c r="AG74" s="451"/>
      <c r="AH74" s="483"/>
      <c r="AI74" s="483"/>
      <c r="AJ74" s="451"/>
      <c r="AK74" s="451"/>
      <c r="AL74" s="15"/>
    </row>
    <row r="75" spans="1:41" ht="30">
      <c r="A75" s="21">
        <f t="shared" si="87"/>
        <v>7</v>
      </c>
      <c r="B75" s="329" t="s">
        <v>169</v>
      </c>
      <c r="C75" s="21" t="s">
        <v>170</v>
      </c>
      <c r="D75" s="21"/>
      <c r="E75" s="21" t="s">
        <v>171</v>
      </c>
      <c r="F75" s="21" t="s">
        <v>54</v>
      </c>
      <c r="G75" s="445">
        <f t="shared" si="28"/>
        <v>706</v>
      </c>
      <c r="H75" s="445">
        <v>672</v>
      </c>
      <c r="I75" s="445">
        <v>34</v>
      </c>
      <c r="J75" s="451">
        <v>0</v>
      </c>
      <c r="K75" s="483">
        <f t="shared" si="89"/>
        <v>89.299999999999955</v>
      </c>
      <c r="L75" s="451">
        <f t="shared" si="90"/>
        <v>89.299999999999955</v>
      </c>
      <c r="M75" s="451"/>
      <c r="N75" s="483">
        <f>+O75+P75</f>
        <v>10.5</v>
      </c>
      <c r="O75" s="451"/>
      <c r="P75" s="451">
        <f>+S75-I75</f>
        <v>10.5</v>
      </c>
      <c r="Q75" s="466">
        <f t="shared" si="83"/>
        <v>627.20000000000005</v>
      </c>
      <c r="R75" s="451">
        <v>582.70000000000005</v>
      </c>
      <c r="S75" s="451">
        <v>44.5</v>
      </c>
      <c r="T75" s="451"/>
      <c r="U75" s="451">
        <f t="shared" si="84"/>
        <v>627.20000000000005</v>
      </c>
      <c r="V75" s="451">
        <f t="shared" si="85"/>
        <v>582.70000000000005</v>
      </c>
      <c r="W75" s="451">
        <f t="shared" si="85"/>
        <v>44.5</v>
      </c>
      <c r="X75" s="445">
        <f t="shared" si="21"/>
        <v>0</v>
      </c>
      <c r="Y75" s="451"/>
      <c r="Z75" s="451"/>
      <c r="AA75" s="451"/>
      <c r="AB75" s="483"/>
      <c r="AC75" s="483"/>
      <c r="AD75" s="451">
        <f t="shared" ref="AD75:AD78" si="93">+AE75+AF75</f>
        <v>627.20000000000005</v>
      </c>
      <c r="AE75" s="483">
        <v>582.70000000000005</v>
      </c>
      <c r="AF75" s="483">
        <v>44.5</v>
      </c>
      <c r="AG75" s="451"/>
      <c r="AH75" s="483"/>
      <c r="AI75" s="483"/>
      <c r="AJ75" s="451"/>
      <c r="AK75" s="451"/>
      <c r="AL75" s="15"/>
    </row>
    <row r="76" spans="1:41" s="504" customFormat="1" ht="60">
      <c r="A76" s="21">
        <f t="shared" si="87"/>
        <v>8</v>
      </c>
      <c r="B76" s="500" t="s">
        <v>1125</v>
      </c>
      <c r="C76" s="499" t="s">
        <v>1126</v>
      </c>
      <c r="D76" s="499"/>
      <c r="E76" s="499" t="s">
        <v>174</v>
      </c>
      <c r="F76" s="499" t="s">
        <v>54</v>
      </c>
      <c r="G76" s="501">
        <f t="shared" si="28"/>
        <v>1420.25</v>
      </c>
      <c r="H76" s="501">
        <v>1351</v>
      </c>
      <c r="I76" s="501">
        <v>69.25</v>
      </c>
      <c r="J76" s="466">
        <v>0</v>
      </c>
      <c r="K76" s="483">
        <f t="shared" si="82"/>
        <v>0</v>
      </c>
      <c r="L76" s="466"/>
      <c r="M76" s="466"/>
      <c r="N76" s="483"/>
      <c r="O76" s="466"/>
      <c r="P76" s="466"/>
      <c r="Q76" s="466">
        <f t="shared" si="83"/>
        <v>1420.25</v>
      </c>
      <c r="R76" s="466">
        <v>1351</v>
      </c>
      <c r="S76" s="466">
        <v>69.25</v>
      </c>
      <c r="T76" s="466"/>
      <c r="U76" s="451">
        <f t="shared" si="84"/>
        <v>1420.25</v>
      </c>
      <c r="V76" s="451">
        <f t="shared" si="85"/>
        <v>1351</v>
      </c>
      <c r="W76" s="451">
        <f t="shared" si="85"/>
        <v>69.25</v>
      </c>
      <c r="X76" s="445">
        <f t="shared" si="21"/>
        <v>0</v>
      </c>
      <c r="Y76" s="466"/>
      <c r="Z76" s="466"/>
      <c r="AA76" s="466"/>
      <c r="AB76" s="466"/>
      <c r="AC76" s="466"/>
      <c r="AD76" s="466">
        <f t="shared" si="93"/>
        <v>1420.25</v>
      </c>
      <c r="AE76" s="466">
        <v>1351</v>
      </c>
      <c r="AF76" s="466">
        <v>69.25</v>
      </c>
      <c r="AG76" s="466"/>
      <c r="AH76" s="466"/>
      <c r="AI76" s="466"/>
      <c r="AJ76" s="466"/>
      <c r="AK76" s="466"/>
      <c r="AL76" s="502"/>
      <c r="AM76" s="503"/>
      <c r="AN76" s="503"/>
      <c r="AO76" s="503"/>
    </row>
    <row r="77" spans="1:41" s="504" customFormat="1" ht="30">
      <c r="A77" s="21">
        <f t="shared" si="87"/>
        <v>9</v>
      </c>
      <c r="B77" s="500" t="s">
        <v>1127</v>
      </c>
      <c r="C77" s="499" t="s">
        <v>1128</v>
      </c>
      <c r="D77" s="499"/>
      <c r="E77" s="499" t="s">
        <v>176</v>
      </c>
      <c r="F77" s="499" t="s">
        <v>54</v>
      </c>
      <c r="G77" s="501">
        <f t="shared" si="28"/>
        <v>158.5</v>
      </c>
      <c r="H77" s="501">
        <v>150</v>
      </c>
      <c r="I77" s="501">
        <v>8.5</v>
      </c>
      <c r="J77" s="466">
        <v>0</v>
      </c>
      <c r="K77" s="483">
        <f t="shared" si="82"/>
        <v>0</v>
      </c>
      <c r="L77" s="466"/>
      <c r="M77" s="466"/>
      <c r="N77" s="483"/>
      <c r="O77" s="466"/>
      <c r="P77" s="466"/>
      <c r="Q77" s="466">
        <f t="shared" si="83"/>
        <v>158.5</v>
      </c>
      <c r="R77" s="466">
        <v>150</v>
      </c>
      <c r="S77" s="466">
        <v>8.5</v>
      </c>
      <c r="T77" s="466"/>
      <c r="U77" s="451">
        <f t="shared" si="84"/>
        <v>158.5</v>
      </c>
      <c r="V77" s="451">
        <f t="shared" si="85"/>
        <v>150</v>
      </c>
      <c r="W77" s="451">
        <f t="shared" si="85"/>
        <v>8.5</v>
      </c>
      <c r="X77" s="445">
        <f t="shared" si="21"/>
        <v>0</v>
      </c>
      <c r="Y77" s="466"/>
      <c r="Z77" s="466"/>
      <c r="AA77" s="466"/>
      <c r="AB77" s="466"/>
      <c r="AC77" s="466"/>
      <c r="AD77" s="466">
        <f t="shared" si="93"/>
        <v>158.5</v>
      </c>
      <c r="AE77" s="466">
        <v>150</v>
      </c>
      <c r="AF77" s="466">
        <v>8.5</v>
      </c>
      <c r="AG77" s="466"/>
      <c r="AH77" s="466"/>
      <c r="AI77" s="466"/>
      <c r="AJ77" s="466"/>
      <c r="AK77" s="466"/>
      <c r="AL77" s="502"/>
      <c r="AM77" s="503"/>
      <c r="AN77" s="503"/>
      <c r="AO77" s="503"/>
    </row>
    <row r="78" spans="1:41" s="504" customFormat="1" ht="75">
      <c r="A78" s="21">
        <f t="shared" si="87"/>
        <v>10</v>
      </c>
      <c r="B78" s="500" t="s">
        <v>1129</v>
      </c>
      <c r="C78" s="499" t="s">
        <v>173</v>
      </c>
      <c r="D78" s="499"/>
      <c r="E78" s="134" t="s">
        <v>178</v>
      </c>
      <c r="F78" s="499" t="s">
        <v>54</v>
      </c>
      <c r="G78" s="501">
        <f t="shared" si="28"/>
        <v>274</v>
      </c>
      <c r="H78" s="501">
        <v>260</v>
      </c>
      <c r="I78" s="501">
        <v>14</v>
      </c>
      <c r="J78" s="466">
        <v>0</v>
      </c>
      <c r="K78" s="483">
        <f t="shared" si="82"/>
        <v>0</v>
      </c>
      <c r="L78" s="466"/>
      <c r="M78" s="466"/>
      <c r="N78" s="483"/>
      <c r="O78" s="466"/>
      <c r="P78" s="466"/>
      <c r="Q78" s="466">
        <f t="shared" si="83"/>
        <v>274</v>
      </c>
      <c r="R78" s="466">
        <v>260</v>
      </c>
      <c r="S78" s="466">
        <v>14</v>
      </c>
      <c r="T78" s="466"/>
      <c r="U78" s="451">
        <f t="shared" si="84"/>
        <v>274</v>
      </c>
      <c r="V78" s="451">
        <f t="shared" si="85"/>
        <v>260</v>
      </c>
      <c r="W78" s="451">
        <f t="shared" si="85"/>
        <v>14</v>
      </c>
      <c r="X78" s="445">
        <f t="shared" si="21"/>
        <v>0</v>
      </c>
      <c r="Y78" s="466"/>
      <c r="Z78" s="466"/>
      <c r="AA78" s="466"/>
      <c r="AB78" s="466"/>
      <c r="AC78" s="466"/>
      <c r="AD78" s="466">
        <f t="shared" si="93"/>
        <v>274</v>
      </c>
      <c r="AE78" s="466">
        <v>260</v>
      </c>
      <c r="AF78" s="466">
        <v>14</v>
      </c>
      <c r="AG78" s="466"/>
      <c r="AH78" s="466"/>
      <c r="AI78" s="466"/>
      <c r="AJ78" s="466"/>
      <c r="AK78" s="466"/>
      <c r="AL78" s="502"/>
      <c r="AM78" s="503"/>
      <c r="AN78" s="503"/>
      <c r="AO78" s="503"/>
    </row>
    <row r="79" spans="1:41" ht="30">
      <c r="A79" s="21">
        <f t="shared" si="87"/>
        <v>11</v>
      </c>
      <c r="B79" s="329" t="s">
        <v>179</v>
      </c>
      <c r="C79" s="21" t="s">
        <v>58</v>
      </c>
      <c r="D79" s="21"/>
      <c r="E79" s="21" t="s">
        <v>180</v>
      </c>
      <c r="F79" s="21" t="s">
        <v>55</v>
      </c>
      <c r="G79" s="445">
        <f t="shared" si="28"/>
        <v>996</v>
      </c>
      <c r="H79" s="445">
        <v>950</v>
      </c>
      <c r="I79" s="445">
        <v>46</v>
      </c>
      <c r="J79" s="451">
        <v>0</v>
      </c>
      <c r="K79" s="483">
        <f t="shared" si="82"/>
        <v>0</v>
      </c>
      <c r="L79" s="451"/>
      <c r="M79" s="451"/>
      <c r="N79" s="483"/>
      <c r="O79" s="451"/>
      <c r="P79" s="451"/>
      <c r="Q79" s="445">
        <f t="shared" ref="Q79:Q82" si="94">R79+S79</f>
        <v>996</v>
      </c>
      <c r="R79" s="445">
        <v>950</v>
      </c>
      <c r="S79" s="445">
        <v>46</v>
      </c>
      <c r="T79" s="451"/>
      <c r="U79" s="451">
        <f t="shared" si="84"/>
        <v>0</v>
      </c>
      <c r="V79" s="451">
        <f t="shared" si="85"/>
        <v>0</v>
      </c>
      <c r="W79" s="451">
        <f t="shared" si="85"/>
        <v>0</v>
      </c>
      <c r="X79" s="445">
        <f t="shared" si="21"/>
        <v>0</v>
      </c>
      <c r="Y79" s="451"/>
      <c r="Z79" s="451"/>
      <c r="AA79" s="451"/>
      <c r="AB79" s="483"/>
      <c r="AC79" s="483"/>
      <c r="AD79" s="451"/>
      <c r="AE79" s="483"/>
      <c r="AF79" s="483"/>
      <c r="AG79" s="445">
        <f t="shared" ref="AG79:AG82" si="95">AH79+AI79</f>
        <v>996</v>
      </c>
      <c r="AH79" s="445">
        <v>950</v>
      </c>
      <c r="AI79" s="445">
        <v>46</v>
      </c>
      <c r="AJ79" s="451"/>
      <c r="AK79" s="451"/>
      <c r="AL79" s="15"/>
    </row>
    <row r="80" spans="1:41" ht="75">
      <c r="A80" s="21">
        <f t="shared" si="87"/>
        <v>12</v>
      </c>
      <c r="B80" s="329" t="s">
        <v>181</v>
      </c>
      <c r="C80" s="21" t="s">
        <v>182</v>
      </c>
      <c r="D80" s="21"/>
      <c r="E80" s="21" t="s">
        <v>151</v>
      </c>
      <c r="F80" s="21" t="s">
        <v>55</v>
      </c>
      <c r="G80" s="445">
        <f t="shared" si="28"/>
        <v>996</v>
      </c>
      <c r="H80" s="445">
        <v>950</v>
      </c>
      <c r="I80" s="445">
        <v>46</v>
      </c>
      <c r="J80" s="451">
        <v>0</v>
      </c>
      <c r="K80" s="483">
        <f t="shared" si="82"/>
        <v>0</v>
      </c>
      <c r="L80" s="451"/>
      <c r="M80" s="451"/>
      <c r="N80" s="483"/>
      <c r="O80" s="451"/>
      <c r="P80" s="451"/>
      <c r="Q80" s="445">
        <f t="shared" si="94"/>
        <v>996</v>
      </c>
      <c r="R80" s="445">
        <v>950</v>
      </c>
      <c r="S80" s="445">
        <v>46</v>
      </c>
      <c r="T80" s="451"/>
      <c r="U80" s="451">
        <f t="shared" si="84"/>
        <v>0</v>
      </c>
      <c r="V80" s="451">
        <f t="shared" si="85"/>
        <v>0</v>
      </c>
      <c r="W80" s="451">
        <f t="shared" si="85"/>
        <v>0</v>
      </c>
      <c r="X80" s="445">
        <f t="shared" si="21"/>
        <v>0</v>
      </c>
      <c r="Y80" s="451"/>
      <c r="Z80" s="451"/>
      <c r="AA80" s="451"/>
      <c r="AB80" s="483"/>
      <c r="AC80" s="483"/>
      <c r="AD80" s="451"/>
      <c r="AE80" s="483"/>
      <c r="AF80" s="483"/>
      <c r="AG80" s="445">
        <f t="shared" si="95"/>
        <v>996</v>
      </c>
      <c r="AH80" s="445">
        <v>950</v>
      </c>
      <c r="AI80" s="445">
        <v>46</v>
      </c>
      <c r="AJ80" s="451"/>
      <c r="AK80" s="451"/>
      <c r="AL80" s="15"/>
    </row>
    <row r="81" spans="1:41" ht="75">
      <c r="A81" s="21">
        <f t="shared" si="87"/>
        <v>13</v>
      </c>
      <c r="B81" s="329" t="s">
        <v>183</v>
      </c>
      <c r="C81" s="21" t="s">
        <v>184</v>
      </c>
      <c r="D81" s="21"/>
      <c r="E81" s="21" t="s">
        <v>151</v>
      </c>
      <c r="F81" s="21" t="s">
        <v>55</v>
      </c>
      <c r="G81" s="445">
        <f t="shared" si="28"/>
        <v>741.8</v>
      </c>
      <c r="H81" s="445">
        <v>706.8</v>
      </c>
      <c r="I81" s="445">
        <v>35</v>
      </c>
      <c r="J81" s="451">
        <v>0</v>
      </c>
      <c r="K81" s="483">
        <f t="shared" si="82"/>
        <v>0</v>
      </c>
      <c r="L81" s="451"/>
      <c r="M81" s="451"/>
      <c r="N81" s="483"/>
      <c r="O81" s="451"/>
      <c r="P81" s="451"/>
      <c r="Q81" s="445">
        <f t="shared" si="94"/>
        <v>741.8</v>
      </c>
      <c r="R81" s="445">
        <v>706.8</v>
      </c>
      <c r="S81" s="445">
        <v>35</v>
      </c>
      <c r="T81" s="451"/>
      <c r="U81" s="451">
        <f t="shared" si="84"/>
        <v>0</v>
      </c>
      <c r="V81" s="451">
        <f t="shared" si="85"/>
        <v>0</v>
      </c>
      <c r="W81" s="451">
        <f t="shared" si="85"/>
        <v>0</v>
      </c>
      <c r="X81" s="445">
        <f t="shared" si="21"/>
        <v>0</v>
      </c>
      <c r="Y81" s="451"/>
      <c r="Z81" s="451"/>
      <c r="AA81" s="451"/>
      <c r="AB81" s="483"/>
      <c r="AC81" s="483"/>
      <c r="AD81" s="451"/>
      <c r="AE81" s="483"/>
      <c r="AF81" s="483"/>
      <c r="AG81" s="445">
        <f t="shared" si="95"/>
        <v>741.8</v>
      </c>
      <c r="AH81" s="445">
        <v>706.8</v>
      </c>
      <c r="AI81" s="445">
        <v>35</v>
      </c>
      <c r="AJ81" s="451"/>
      <c r="AK81" s="451"/>
      <c r="AL81" s="15"/>
    </row>
    <row r="82" spans="1:41" ht="45">
      <c r="A82" s="21">
        <f t="shared" si="87"/>
        <v>14</v>
      </c>
      <c r="B82" s="329" t="s">
        <v>1142</v>
      </c>
      <c r="C82" s="21" t="s">
        <v>1143</v>
      </c>
      <c r="D82" s="21"/>
      <c r="E82" s="21"/>
      <c r="F82" s="21" t="s">
        <v>55</v>
      </c>
      <c r="G82" s="445"/>
      <c r="H82" s="445"/>
      <c r="I82" s="445"/>
      <c r="J82" s="451"/>
      <c r="K82" s="483"/>
      <c r="L82" s="451"/>
      <c r="M82" s="451"/>
      <c r="N82" s="445">
        <f t="shared" ref="N82" si="96">O82+P82</f>
        <v>648.77559999999994</v>
      </c>
      <c r="O82" s="483">
        <v>642.63559999999995</v>
      </c>
      <c r="P82" s="483">
        <v>6.14</v>
      </c>
      <c r="Q82" s="445">
        <f t="shared" si="94"/>
        <v>648.77559999999994</v>
      </c>
      <c r="R82" s="483">
        <v>642.63559999999995</v>
      </c>
      <c r="S82" s="483">
        <v>6.14</v>
      </c>
      <c r="T82" s="533" t="s">
        <v>1166</v>
      </c>
      <c r="U82" s="451"/>
      <c r="V82" s="451"/>
      <c r="W82" s="451"/>
      <c r="X82" s="445"/>
      <c r="Y82" s="451"/>
      <c r="Z82" s="451"/>
      <c r="AA82" s="451"/>
      <c r="AB82" s="483"/>
      <c r="AC82" s="483"/>
      <c r="AD82" s="451"/>
      <c r="AE82" s="483"/>
      <c r="AF82" s="483"/>
      <c r="AG82" s="445">
        <f t="shared" si="95"/>
        <v>648.77559999999994</v>
      </c>
      <c r="AH82" s="483">
        <v>642.63559999999995</v>
      </c>
      <c r="AI82" s="483">
        <v>6.14</v>
      </c>
      <c r="AJ82" s="451"/>
      <c r="AK82" s="451"/>
      <c r="AL82" s="15"/>
    </row>
    <row r="83" spans="1:41" s="14" customFormat="1" ht="23.25" customHeight="1">
      <c r="A83" s="4" t="s">
        <v>992</v>
      </c>
      <c r="B83" s="507" t="s">
        <v>186</v>
      </c>
      <c r="C83" s="418"/>
      <c r="D83" s="418"/>
      <c r="E83" s="417">
        <v>0</v>
      </c>
      <c r="F83" s="417"/>
      <c r="G83" s="446">
        <f>SUM(G84:G103)</f>
        <v>10075.5</v>
      </c>
      <c r="H83" s="446">
        <f t="shared" ref="H83:S83" si="97">SUM(H84:H103)</f>
        <v>9595.69</v>
      </c>
      <c r="I83" s="446">
        <f t="shared" si="97"/>
        <v>479.81000000000006</v>
      </c>
      <c r="J83" s="446">
        <f t="shared" si="97"/>
        <v>0</v>
      </c>
      <c r="K83" s="446">
        <f t="shared" si="97"/>
        <v>749.07416000000001</v>
      </c>
      <c r="L83" s="446">
        <f t="shared" si="97"/>
        <v>731.67416000000003</v>
      </c>
      <c r="M83" s="446">
        <f t="shared" si="97"/>
        <v>17.399999999999999</v>
      </c>
      <c r="N83" s="446">
        <f t="shared" si="97"/>
        <v>749.07415999999989</v>
      </c>
      <c r="O83" s="446">
        <f t="shared" si="97"/>
        <v>731.67415999999992</v>
      </c>
      <c r="P83" s="446">
        <f t="shared" si="97"/>
        <v>17.399999999999999</v>
      </c>
      <c r="Q83" s="446">
        <f t="shared" si="97"/>
        <v>10075.500000000002</v>
      </c>
      <c r="R83" s="446">
        <f t="shared" si="97"/>
        <v>9595.69</v>
      </c>
      <c r="S83" s="446">
        <f t="shared" si="97"/>
        <v>479.81</v>
      </c>
      <c r="T83" s="446"/>
      <c r="U83" s="446">
        <f t="shared" ref="U83:AF83" si="98">SUM(U84:U102)</f>
        <v>6717.5758400000004</v>
      </c>
      <c r="V83" s="446">
        <f t="shared" si="98"/>
        <v>6370.3658400000004</v>
      </c>
      <c r="W83" s="446">
        <f t="shared" si="98"/>
        <v>347.21</v>
      </c>
      <c r="X83" s="446">
        <f t="shared" si="98"/>
        <v>1813.4</v>
      </c>
      <c r="Y83" s="446">
        <f t="shared" si="98"/>
        <v>1727.04</v>
      </c>
      <c r="Z83" s="446">
        <f t="shared" si="98"/>
        <v>86.36</v>
      </c>
      <c r="AA83" s="446">
        <f t="shared" si="98"/>
        <v>2430.8758399999997</v>
      </c>
      <c r="AB83" s="446">
        <f t="shared" si="98"/>
        <v>2305.9258399999999</v>
      </c>
      <c r="AC83" s="446">
        <f t="shared" si="98"/>
        <v>124.95</v>
      </c>
      <c r="AD83" s="446">
        <f t="shared" si="98"/>
        <v>2473.3000000000002</v>
      </c>
      <c r="AE83" s="446">
        <f t="shared" si="98"/>
        <v>2337.4</v>
      </c>
      <c r="AF83" s="446">
        <f t="shared" si="98"/>
        <v>135.9</v>
      </c>
      <c r="AG83" s="446">
        <f>SUM(AG84:AG103)</f>
        <v>3357.9241599999996</v>
      </c>
      <c r="AH83" s="446">
        <f>SUM(AH84:AH103)</f>
        <v>3225.3241600000001</v>
      </c>
      <c r="AI83" s="446">
        <f>SUM(AI84:AI103)</f>
        <v>132.6</v>
      </c>
      <c r="AJ83" s="446"/>
      <c r="AK83" s="446">
        <f>SUM(AK84:AK102)</f>
        <v>0</v>
      </c>
      <c r="AL83" s="16"/>
      <c r="AM83" s="368">
        <f>+'NĂM 2022'!K42+'NĂM 2023'!N40+'NĂM 2024'!J42+'NĂM 2025'!J39</f>
        <v>10075.540000000001</v>
      </c>
      <c r="AN83" s="368">
        <f>+'NĂM 2022'!L42+'NĂM 2023'!O40+'NĂM 2024'!K42+'NĂM 2025'!K39</f>
        <v>9595.74</v>
      </c>
      <c r="AO83" s="368">
        <f>+'NĂM 2022'!M42+'NĂM 2023'!P40+'NĂM 2024'!L42+'NĂM 2025'!L39</f>
        <v>479.8</v>
      </c>
    </row>
    <row r="84" spans="1:41" s="146" customFormat="1" ht="75">
      <c r="A84" s="141">
        <v>1</v>
      </c>
      <c r="B84" s="330" t="s">
        <v>187</v>
      </c>
      <c r="C84" s="141" t="s">
        <v>188</v>
      </c>
      <c r="D84" s="141"/>
      <c r="E84" s="141" t="s">
        <v>189</v>
      </c>
      <c r="F84" s="142" t="s">
        <v>52</v>
      </c>
      <c r="G84" s="447">
        <f t="shared" si="28"/>
        <v>395.85</v>
      </c>
      <c r="H84" s="447">
        <v>377</v>
      </c>
      <c r="I84" s="447">
        <v>18.850000000000001</v>
      </c>
      <c r="J84" s="448"/>
      <c r="K84" s="483">
        <f>+G84-Q84</f>
        <v>0</v>
      </c>
      <c r="L84" s="448"/>
      <c r="M84" s="448"/>
      <c r="N84" s="483"/>
      <c r="O84" s="448"/>
      <c r="P84" s="448"/>
      <c r="Q84" s="466">
        <v>395.85</v>
      </c>
      <c r="R84" s="448">
        <v>377</v>
      </c>
      <c r="S84" s="448">
        <v>18.850000000000001</v>
      </c>
      <c r="T84" s="448"/>
      <c r="U84" s="448">
        <f>+V84+W84</f>
        <v>395.85</v>
      </c>
      <c r="V84" s="448">
        <f>+Y84+AB84+AE84</f>
        <v>377</v>
      </c>
      <c r="W84" s="448">
        <f>+Z84+AC84+AF84</f>
        <v>18.850000000000001</v>
      </c>
      <c r="X84" s="445">
        <f t="shared" si="21"/>
        <v>395.85</v>
      </c>
      <c r="Y84" s="447">
        <v>377</v>
      </c>
      <c r="Z84" s="447">
        <v>18.850000000000001</v>
      </c>
      <c r="AA84" s="447"/>
      <c r="AB84" s="481"/>
      <c r="AC84" s="481"/>
      <c r="AD84" s="447"/>
      <c r="AE84" s="481"/>
      <c r="AF84" s="481"/>
      <c r="AG84" s="447"/>
      <c r="AH84" s="481"/>
      <c r="AI84" s="481"/>
      <c r="AJ84" s="447"/>
      <c r="AK84" s="448"/>
      <c r="AL84" s="145"/>
      <c r="AM84" s="369">
        <f>+G83-U83</f>
        <v>3357.9241599999996</v>
      </c>
      <c r="AN84" s="369">
        <f>+H83-V83</f>
        <v>3225.3241600000001</v>
      </c>
      <c r="AO84" s="369">
        <f>+I83-W83</f>
        <v>132.60000000000008</v>
      </c>
    </row>
    <row r="85" spans="1:41" s="146" customFormat="1" ht="75">
      <c r="A85" s="141">
        <f>+A84+1</f>
        <v>2</v>
      </c>
      <c r="B85" s="331" t="s">
        <v>190</v>
      </c>
      <c r="C85" s="147" t="s">
        <v>191</v>
      </c>
      <c r="D85" s="147"/>
      <c r="E85" s="147" t="s">
        <v>192</v>
      </c>
      <c r="F85" s="142" t="s">
        <v>52</v>
      </c>
      <c r="G85" s="447">
        <f t="shared" si="28"/>
        <v>577.5</v>
      </c>
      <c r="H85" s="447">
        <v>550</v>
      </c>
      <c r="I85" s="447">
        <v>27.5</v>
      </c>
      <c r="J85" s="448"/>
      <c r="K85" s="483">
        <f t="shared" ref="K85:K102" si="99">+G85-Q85</f>
        <v>0</v>
      </c>
      <c r="L85" s="448"/>
      <c r="M85" s="448"/>
      <c r="N85" s="483"/>
      <c r="O85" s="448"/>
      <c r="P85" s="448"/>
      <c r="Q85" s="466">
        <v>577.5</v>
      </c>
      <c r="R85" s="448">
        <v>550</v>
      </c>
      <c r="S85" s="448">
        <v>27.5</v>
      </c>
      <c r="T85" s="448"/>
      <c r="U85" s="448">
        <f t="shared" ref="U85:U102" si="100">+V85+W85</f>
        <v>577.5</v>
      </c>
      <c r="V85" s="448">
        <f t="shared" ref="V85:W102" si="101">+Y85+AB85+AE85</f>
        <v>550</v>
      </c>
      <c r="W85" s="448">
        <f t="shared" si="101"/>
        <v>27.5</v>
      </c>
      <c r="X85" s="445">
        <f t="shared" si="21"/>
        <v>577.5</v>
      </c>
      <c r="Y85" s="447">
        <v>550</v>
      </c>
      <c r="Z85" s="447">
        <v>27.5</v>
      </c>
      <c r="AA85" s="447"/>
      <c r="AB85" s="481"/>
      <c r="AC85" s="481"/>
      <c r="AD85" s="447"/>
      <c r="AE85" s="481"/>
      <c r="AF85" s="481"/>
      <c r="AG85" s="447"/>
      <c r="AH85" s="481"/>
      <c r="AI85" s="481"/>
      <c r="AJ85" s="447"/>
      <c r="AK85" s="448"/>
      <c r="AL85" s="145"/>
      <c r="AM85" s="465">
        <f>+AM84-AG83</f>
        <v>0</v>
      </c>
      <c r="AN85" s="465">
        <f t="shared" ref="AN85:AO85" si="102">+AN84-AH83</f>
        <v>0</v>
      </c>
      <c r="AO85" s="465">
        <f t="shared" si="102"/>
        <v>0</v>
      </c>
    </row>
    <row r="86" spans="1:41" s="146" customFormat="1" ht="75">
      <c r="A86" s="141">
        <f t="shared" ref="A86:A103" si="103">+A85+1</f>
        <v>3</v>
      </c>
      <c r="B86" s="330" t="s">
        <v>193</v>
      </c>
      <c r="C86" s="141" t="s">
        <v>194</v>
      </c>
      <c r="D86" s="141"/>
      <c r="E86" s="141" t="s">
        <v>110</v>
      </c>
      <c r="F86" s="142" t="s">
        <v>52</v>
      </c>
      <c r="G86" s="447">
        <f t="shared" si="28"/>
        <v>840.05</v>
      </c>
      <c r="H86" s="447">
        <v>800.04</v>
      </c>
      <c r="I86" s="447">
        <v>40.01</v>
      </c>
      <c r="J86" s="448"/>
      <c r="K86" s="483">
        <f t="shared" si="99"/>
        <v>0</v>
      </c>
      <c r="L86" s="448"/>
      <c r="M86" s="448"/>
      <c r="N86" s="483"/>
      <c r="O86" s="448"/>
      <c r="P86" s="448"/>
      <c r="Q86" s="466">
        <v>840.05</v>
      </c>
      <c r="R86" s="448">
        <v>800.04</v>
      </c>
      <c r="S86" s="448">
        <v>40.01</v>
      </c>
      <c r="T86" s="448"/>
      <c r="U86" s="448">
        <f t="shared" si="100"/>
        <v>840.05</v>
      </c>
      <c r="V86" s="448">
        <f t="shared" si="101"/>
        <v>800.04</v>
      </c>
      <c r="W86" s="448">
        <f t="shared" si="101"/>
        <v>40.01</v>
      </c>
      <c r="X86" s="445">
        <f t="shared" si="21"/>
        <v>840.05</v>
      </c>
      <c r="Y86" s="447">
        <v>800.04</v>
      </c>
      <c r="Z86" s="447">
        <v>40.01</v>
      </c>
      <c r="AA86" s="447"/>
      <c r="AB86" s="481"/>
      <c r="AC86" s="481"/>
      <c r="AD86" s="447"/>
      <c r="AE86" s="481"/>
      <c r="AF86" s="481"/>
      <c r="AG86" s="447"/>
      <c r="AH86" s="481"/>
      <c r="AI86" s="481"/>
      <c r="AJ86" s="447"/>
      <c r="AK86" s="448"/>
      <c r="AL86" s="145"/>
      <c r="AM86" s="369"/>
      <c r="AN86" s="369"/>
      <c r="AO86" s="369"/>
    </row>
    <row r="87" spans="1:41" ht="75">
      <c r="A87" s="141">
        <f t="shared" si="103"/>
        <v>4</v>
      </c>
      <c r="B87" s="328" t="s">
        <v>195</v>
      </c>
      <c r="C87" s="8" t="s">
        <v>196</v>
      </c>
      <c r="D87" s="8"/>
      <c r="E87" s="22" t="s">
        <v>798</v>
      </c>
      <c r="F87" s="21" t="s">
        <v>53</v>
      </c>
      <c r="G87" s="445">
        <f t="shared" si="28"/>
        <v>414.75</v>
      </c>
      <c r="H87" s="445">
        <v>395</v>
      </c>
      <c r="I87" s="445">
        <f>H87*5%</f>
        <v>19.75</v>
      </c>
      <c r="J87" s="451"/>
      <c r="K87" s="483">
        <f>+L87+M87</f>
        <v>146</v>
      </c>
      <c r="L87" s="451">
        <f>+H87-R87</f>
        <v>140</v>
      </c>
      <c r="M87" s="451">
        <f>+I87-S87</f>
        <v>6</v>
      </c>
      <c r="N87" s="483"/>
      <c r="O87" s="451"/>
      <c r="P87" s="451"/>
      <c r="Q87" s="466">
        <v>268.75</v>
      </c>
      <c r="R87" s="451">
        <v>255</v>
      </c>
      <c r="S87" s="451">
        <v>13.75</v>
      </c>
      <c r="T87" s="451"/>
      <c r="U87" s="448">
        <f t="shared" si="100"/>
        <v>268.75</v>
      </c>
      <c r="V87" s="448">
        <f t="shared" si="101"/>
        <v>255</v>
      </c>
      <c r="W87" s="448">
        <f t="shared" si="101"/>
        <v>13.75</v>
      </c>
      <c r="X87" s="445">
        <f t="shared" si="21"/>
        <v>0</v>
      </c>
      <c r="Y87" s="451"/>
      <c r="Z87" s="451"/>
      <c r="AA87" s="451">
        <f>+AB87+AC87</f>
        <v>268.75</v>
      </c>
      <c r="AB87" s="483">
        <v>255</v>
      </c>
      <c r="AC87" s="483">
        <v>13.75</v>
      </c>
      <c r="AD87" s="451"/>
      <c r="AE87" s="483"/>
      <c r="AF87" s="483"/>
      <c r="AG87" s="451"/>
      <c r="AH87" s="483"/>
      <c r="AI87" s="483"/>
      <c r="AJ87" s="451"/>
      <c r="AK87" s="451"/>
      <c r="AL87" s="8"/>
    </row>
    <row r="88" spans="1:41" ht="75">
      <c r="A88" s="141">
        <f t="shared" si="103"/>
        <v>5</v>
      </c>
      <c r="B88" s="328" t="s">
        <v>198</v>
      </c>
      <c r="C88" s="8" t="s">
        <v>199</v>
      </c>
      <c r="D88" s="8"/>
      <c r="E88" s="22" t="s">
        <v>200</v>
      </c>
      <c r="F88" s="21" t="s">
        <v>53</v>
      </c>
      <c r="G88" s="445">
        <f t="shared" ref="G88:G160" si="104">H88+I88</f>
        <v>1575</v>
      </c>
      <c r="H88" s="445">
        <v>1500</v>
      </c>
      <c r="I88" s="445">
        <v>75</v>
      </c>
      <c r="J88" s="451">
        <v>0</v>
      </c>
      <c r="K88" s="483">
        <f t="shared" ref="K88:K91" si="105">+L88+M88</f>
        <v>59.374160000000074</v>
      </c>
      <c r="L88" s="451">
        <f t="shared" ref="L88:L91" si="106">+H88-R88</f>
        <v>59.374160000000074</v>
      </c>
      <c r="M88" s="451"/>
      <c r="N88" s="483">
        <f>+O88+P88</f>
        <v>3.2999999999999972</v>
      </c>
      <c r="O88" s="451"/>
      <c r="P88" s="451">
        <f>+S88-I88</f>
        <v>3.2999999999999972</v>
      </c>
      <c r="Q88" s="466">
        <v>1518.9258399999999</v>
      </c>
      <c r="R88" s="451">
        <v>1440.6258399999999</v>
      </c>
      <c r="S88" s="451">
        <v>78.3</v>
      </c>
      <c r="T88" s="451"/>
      <c r="U88" s="448">
        <f t="shared" si="100"/>
        <v>1518.9258399999999</v>
      </c>
      <c r="V88" s="448">
        <f t="shared" si="101"/>
        <v>1440.6258399999999</v>
      </c>
      <c r="W88" s="448">
        <f t="shared" si="101"/>
        <v>78.3</v>
      </c>
      <c r="X88" s="445">
        <f t="shared" ref="X88:X160" si="107">Y88+Z88</f>
        <v>0</v>
      </c>
      <c r="Y88" s="451"/>
      <c r="Z88" s="451"/>
      <c r="AA88" s="451">
        <f>+AB88+AC88</f>
        <v>1518.9258399999999</v>
      </c>
      <c r="AB88" s="483">
        <f>1450-9.37416</f>
        <v>1440.6258399999999</v>
      </c>
      <c r="AC88" s="483">
        <v>78.3</v>
      </c>
      <c r="AD88" s="451"/>
      <c r="AE88" s="483"/>
      <c r="AF88" s="483"/>
      <c r="AG88" s="451"/>
      <c r="AH88" s="483"/>
      <c r="AI88" s="483"/>
      <c r="AJ88" s="451"/>
      <c r="AK88" s="451"/>
      <c r="AL88" s="8"/>
    </row>
    <row r="89" spans="1:41" ht="30">
      <c r="A89" s="141">
        <f t="shared" si="103"/>
        <v>6</v>
      </c>
      <c r="B89" s="328" t="s">
        <v>799</v>
      </c>
      <c r="C89" s="8" t="s">
        <v>800</v>
      </c>
      <c r="D89" s="8"/>
      <c r="E89" s="8" t="s">
        <v>801</v>
      </c>
      <c r="F89" s="21" t="s">
        <v>53</v>
      </c>
      <c r="G89" s="445">
        <f>H89+I89</f>
        <v>504</v>
      </c>
      <c r="H89" s="445">
        <v>480</v>
      </c>
      <c r="I89" s="445">
        <f>H89*5%</f>
        <v>24</v>
      </c>
      <c r="J89" s="451"/>
      <c r="K89" s="483">
        <f t="shared" si="105"/>
        <v>103.5</v>
      </c>
      <c r="L89" s="451">
        <f t="shared" si="106"/>
        <v>100</v>
      </c>
      <c r="M89" s="451">
        <f t="shared" ref="M89:M91" si="108">+I89-S89</f>
        <v>3.5</v>
      </c>
      <c r="N89" s="483"/>
      <c r="O89" s="451"/>
      <c r="P89" s="451"/>
      <c r="Q89" s="466">
        <v>400.5</v>
      </c>
      <c r="R89" s="451">
        <v>380</v>
      </c>
      <c r="S89" s="451">
        <v>20.5</v>
      </c>
      <c r="T89" s="451"/>
      <c r="U89" s="448">
        <f t="shared" si="100"/>
        <v>400.5</v>
      </c>
      <c r="V89" s="448">
        <f t="shared" si="101"/>
        <v>380</v>
      </c>
      <c r="W89" s="448">
        <f t="shared" si="101"/>
        <v>20.5</v>
      </c>
      <c r="X89" s="445">
        <f t="shared" si="107"/>
        <v>0</v>
      </c>
      <c r="Y89" s="451"/>
      <c r="Z89" s="451"/>
      <c r="AA89" s="451">
        <f>+AB89+AC89</f>
        <v>400.5</v>
      </c>
      <c r="AB89" s="483">
        <v>380</v>
      </c>
      <c r="AC89" s="483">
        <v>20.5</v>
      </c>
      <c r="AD89" s="451"/>
      <c r="AE89" s="483"/>
      <c r="AF89" s="483"/>
      <c r="AG89" s="451"/>
      <c r="AH89" s="483"/>
      <c r="AI89" s="483"/>
      <c r="AJ89" s="451"/>
      <c r="AK89" s="451"/>
      <c r="AL89" s="15"/>
    </row>
    <row r="90" spans="1:41" ht="75">
      <c r="A90" s="141">
        <f t="shared" si="103"/>
        <v>7</v>
      </c>
      <c r="B90" s="328" t="s">
        <v>209</v>
      </c>
      <c r="C90" s="8" t="s">
        <v>210</v>
      </c>
      <c r="D90" s="8"/>
      <c r="E90" s="8" t="s">
        <v>211</v>
      </c>
      <c r="F90" s="21" t="s">
        <v>53</v>
      </c>
      <c r="G90" s="445">
        <f>H90+I90</f>
        <v>315</v>
      </c>
      <c r="H90" s="445">
        <v>300</v>
      </c>
      <c r="I90" s="445">
        <f>H90*5%</f>
        <v>15</v>
      </c>
      <c r="J90" s="451"/>
      <c r="K90" s="483">
        <f t="shared" si="105"/>
        <v>72.299999999999983</v>
      </c>
      <c r="L90" s="451">
        <f t="shared" si="106"/>
        <v>69.699999999999989</v>
      </c>
      <c r="M90" s="451">
        <f t="shared" si="108"/>
        <v>2.5999999999999996</v>
      </c>
      <c r="N90" s="483"/>
      <c r="O90" s="451"/>
      <c r="P90" s="451"/>
      <c r="Q90" s="466">
        <v>242.70000000000002</v>
      </c>
      <c r="R90" s="451">
        <v>230.3</v>
      </c>
      <c r="S90" s="451">
        <v>12.4</v>
      </c>
      <c r="T90" s="451"/>
      <c r="U90" s="448">
        <f t="shared" si="100"/>
        <v>242.70000000000002</v>
      </c>
      <c r="V90" s="448">
        <f t="shared" si="101"/>
        <v>230.3</v>
      </c>
      <c r="W90" s="448">
        <f t="shared" si="101"/>
        <v>12.4</v>
      </c>
      <c r="X90" s="445"/>
      <c r="Y90" s="451"/>
      <c r="Z90" s="451"/>
      <c r="AA90" s="451">
        <f>+AB90+AC90</f>
        <v>242.70000000000002</v>
      </c>
      <c r="AB90" s="483">
        <v>230.3</v>
      </c>
      <c r="AC90" s="483">
        <v>12.4</v>
      </c>
      <c r="AD90" s="451"/>
      <c r="AE90" s="483"/>
      <c r="AF90" s="483"/>
      <c r="AG90" s="451"/>
      <c r="AH90" s="483"/>
      <c r="AI90" s="483"/>
      <c r="AJ90" s="451"/>
      <c r="AK90" s="451"/>
      <c r="AL90" s="15"/>
    </row>
    <row r="91" spans="1:41" ht="45">
      <c r="A91" s="141">
        <f t="shared" si="103"/>
        <v>8</v>
      </c>
      <c r="B91" s="328" t="s">
        <v>203</v>
      </c>
      <c r="C91" s="8" t="s">
        <v>204</v>
      </c>
      <c r="D91" s="8"/>
      <c r="E91" s="8" t="s">
        <v>205</v>
      </c>
      <c r="F91" s="21" t="s">
        <v>54</v>
      </c>
      <c r="G91" s="445">
        <f t="shared" si="104"/>
        <v>630</v>
      </c>
      <c r="H91" s="445">
        <v>600</v>
      </c>
      <c r="I91" s="445">
        <f>H91*5%</f>
        <v>30</v>
      </c>
      <c r="J91" s="451">
        <v>0</v>
      </c>
      <c r="K91" s="483">
        <f t="shared" si="105"/>
        <v>180</v>
      </c>
      <c r="L91" s="451">
        <f t="shared" si="106"/>
        <v>174.7</v>
      </c>
      <c r="M91" s="451">
        <f t="shared" si="108"/>
        <v>5.3000000000000007</v>
      </c>
      <c r="N91" s="483"/>
      <c r="O91" s="451"/>
      <c r="P91" s="451"/>
      <c r="Q91" s="466">
        <v>450</v>
      </c>
      <c r="R91" s="451">
        <v>425.3</v>
      </c>
      <c r="S91" s="451">
        <v>24.7</v>
      </c>
      <c r="T91" s="451"/>
      <c r="U91" s="448">
        <f t="shared" si="100"/>
        <v>450</v>
      </c>
      <c r="V91" s="448">
        <f t="shared" si="101"/>
        <v>425.3</v>
      </c>
      <c r="W91" s="448">
        <f t="shared" si="101"/>
        <v>24.7</v>
      </c>
      <c r="X91" s="445">
        <f t="shared" si="107"/>
        <v>0</v>
      </c>
      <c r="Y91" s="451"/>
      <c r="Z91" s="451"/>
      <c r="AA91" s="451"/>
      <c r="AB91" s="483"/>
      <c r="AC91" s="483"/>
      <c r="AD91" s="451">
        <f>+AE91+AF91</f>
        <v>450</v>
      </c>
      <c r="AE91" s="483">
        <v>425.3</v>
      </c>
      <c r="AF91" s="483">
        <v>24.7</v>
      </c>
      <c r="AG91" s="451"/>
      <c r="AH91" s="483"/>
      <c r="AI91" s="483"/>
      <c r="AJ91" s="451"/>
      <c r="AK91" s="451"/>
      <c r="AL91" s="8"/>
    </row>
    <row r="92" spans="1:41" ht="75">
      <c r="A92" s="141">
        <f t="shared" si="103"/>
        <v>9</v>
      </c>
      <c r="B92" s="360" t="s">
        <v>206</v>
      </c>
      <c r="C92" s="8" t="s">
        <v>196</v>
      </c>
      <c r="D92" s="8"/>
      <c r="E92" s="8" t="s">
        <v>178</v>
      </c>
      <c r="F92" s="21" t="s">
        <v>54</v>
      </c>
      <c r="G92" s="445">
        <f t="shared" si="104"/>
        <v>210</v>
      </c>
      <c r="H92" s="445">
        <v>200</v>
      </c>
      <c r="I92" s="445">
        <v>10</v>
      </c>
      <c r="J92" s="451"/>
      <c r="K92" s="483">
        <f>+L92+M92</f>
        <v>1.5</v>
      </c>
      <c r="L92" s="451">
        <f>+H92-R92</f>
        <v>1.5</v>
      </c>
      <c r="M92" s="451"/>
      <c r="N92" s="483">
        <f>+O92+P92</f>
        <v>1.5</v>
      </c>
      <c r="O92" s="451"/>
      <c r="P92" s="451">
        <f>+S92-I92</f>
        <v>1.5</v>
      </c>
      <c r="Q92" s="466">
        <v>210</v>
      </c>
      <c r="R92" s="451">
        <v>198.5</v>
      </c>
      <c r="S92" s="451">
        <v>11.5</v>
      </c>
      <c r="T92" s="451"/>
      <c r="U92" s="448">
        <f t="shared" si="100"/>
        <v>210</v>
      </c>
      <c r="V92" s="448">
        <f t="shared" si="101"/>
        <v>198.5</v>
      </c>
      <c r="W92" s="448">
        <f t="shared" si="101"/>
        <v>11.5</v>
      </c>
      <c r="X92" s="445">
        <f t="shared" si="107"/>
        <v>0</v>
      </c>
      <c r="Y92" s="451"/>
      <c r="Z92" s="451"/>
      <c r="AA92" s="493"/>
      <c r="AB92" s="494"/>
      <c r="AC92" s="494"/>
      <c r="AD92" s="451">
        <f>+AE92+AF92</f>
        <v>210</v>
      </c>
      <c r="AE92" s="483">
        <v>198.5</v>
      </c>
      <c r="AF92" s="483">
        <v>11.5</v>
      </c>
      <c r="AG92" s="451"/>
      <c r="AH92" s="483"/>
      <c r="AI92" s="483"/>
      <c r="AJ92" s="451"/>
      <c r="AK92" s="451"/>
      <c r="AL92" s="8"/>
    </row>
    <row r="93" spans="1:41" ht="75">
      <c r="A93" s="141">
        <f t="shared" si="103"/>
        <v>10</v>
      </c>
      <c r="B93" s="360" t="s">
        <v>207</v>
      </c>
      <c r="C93" s="8" t="s">
        <v>194</v>
      </c>
      <c r="D93" s="8"/>
      <c r="E93" s="8" t="s">
        <v>208</v>
      </c>
      <c r="F93" s="21" t="s">
        <v>54</v>
      </c>
      <c r="G93" s="445">
        <f t="shared" si="104"/>
        <v>420</v>
      </c>
      <c r="H93" s="445">
        <v>400</v>
      </c>
      <c r="I93" s="445">
        <f>H93*5%</f>
        <v>20</v>
      </c>
      <c r="J93" s="451"/>
      <c r="K93" s="483">
        <f t="shared" ref="K93:K95" si="109">+L93+M93</f>
        <v>22</v>
      </c>
      <c r="L93" s="451">
        <f t="shared" ref="L93:L95" si="110">+H93-R93</f>
        <v>22</v>
      </c>
      <c r="M93" s="451"/>
      <c r="N93" s="483">
        <f t="shared" ref="N93:N95" si="111">+O93+P93</f>
        <v>2</v>
      </c>
      <c r="O93" s="451"/>
      <c r="P93" s="451">
        <f t="shared" ref="P93:P95" si="112">+S93-I93</f>
        <v>2</v>
      </c>
      <c r="Q93" s="466">
        <v>400</v>
      </c>
      <c r="R93" s="451">
        <v>378</v>
      </c>
      <c r="S93" s="451">
        <v>22</v>
      </c>
      <c r="T93" s="451"/>
      <c r="U93" s="448">
        <f t="shared" si="100"/>
        <v>400</v>
      </c>
      <c r="V93" s="448">
        <f t="shared" si="101"/>
        <v>378</v>
      </c>
      <c r="W93" s="448">
        <f t="shared" si="101"/>
        <v>22</v>
      </c>
      <c r="X93" s="445">
        <f t="shared" si="107"/>
        <v>0</v>
      </c>
      <c r="Y93" s="451"/>
      <c r="Z93" s="451"/>
      <c r="AA93" s="493"/>
      <c r="AB93" s="494"/>
      <c r="AC93" s="494"/>
      <c r="AD93" s="451">
        <f>+AE93+AF93</f>
        <v>400</v>
      </c>
      <c r="AE93" s="483">
        <v>378</v>
      </c>
      <c r="AF93" s="483">
        <v>22</v>
      </c>
      <c r="AG93" s="451"/>
      <c r="AH93" s="483"/>
      <c r="AI93" s="483"/>
      <c r="AJ93" s="451"/>
      <c r="AK93" s="451"/>
      <c r="AL93" s="8"/>
    </row>
    <row r="94" spans="1:41" ht="60">
      <c r="A94" s="141">
        <f t="shared" si="103"/>
        <v>11</v>
      </c>
      <c r="B94" s="328" t="s">
        <v>212</v>
      </c>
      <c r="C94" s="8" t="s">
        <v>213</v>
      </c>
      <c r="D94" s="8"/>
      <c r="E94" s="8" t="s">
        <v>214</v>
      </c>
      <c r="F94" s="21" t="s">
        <v>54</v>
      </c>
      <c r="G94" s="445">
        <f t="shared" si="104"/>
        <v>1260</v>
      </c>
      <c r="H94" s="445">
        <v>1200</v>
      </c>
      <c r="I94" s="445">
        <v>60</v>
      </c>
      <c r="J94" s="451"/>
      <c r="K94" s="483">
        <f t="shared" si="109"/>
        <v>160.5</v>
      </c>
      <c r="L94" s="451">
        <f t="shared" si="110"/>
        <v>160.5</v>
      </c>
      <c r="M94" s="451"/>
      <c r="N94" s="483">
        <f t="shared" si="111"/>
        <v>0.5</v>
      </c>
      <c r="O94" s="451"/>
      <c r="P94" s="451">
        <f t="shared" si="112"/>
        <v>0.5</v>
      </c>
      <c r="Q94" s="466">
        <v>1100</v>
      </c>
      <c r="R94" s="451">
        <v>1039.5</v>
      </c>
      <c r="S94" s="451">
        <v>60.5</v>
      </c>
      <c r="T94" s="451"/>
      <c r="U94" s="448">
        <f t="shared" si="100"/>
        <v>1100</v>
      </c>
      <c r="V94" s="448">
        <f t="shared" si="101"/>
        <v>1039.5</v>
      </c>
      <c r="W94" s="448">
        <f t="shared" si="101"/>
        <v>60.5</v>
      </c>
      <c r="X94" s="445">
        <f t="shared" si="107"/>
        <v>0</v>
      </c>
      <c r="Y94" s="451"/>
      <c r="Z94" s="451"/>
      <c r="AA94" s="493"/>
      <c r="AB94" s="494"/>
      <c r="AC94" s="494"/>
      <c r="AD94" s="451">
        <f t="shared" ref="AD94:AD95" si="113">+AE94+AF94</f>
        <v>1100</v>
      </c>
      <c r="AE94" s="483">
        <v>1039.5</v>
      </c>
      <c r="AF94" s="483">
        <v>60.5</v>
      </c>
      <c r="AG94" s="451"/>
      <c r="AH94" s="483"/>
      <c r="AI94" s="483"/>
      <c r="AJ94" s="451"/>
      <c r="AK94" s="451"/>
      <c r="AL94" s="8"/>
    </row>
    <row r="95" spans="1:41" ht="45">
      <c r="A95" s="141">
        <f t="shared" si="103"/>
        <v>12</v>
      </c>
      <c r="B95" s="328" t="s">
        <v>215</v>
      </c>
      <c r="C95" s="8" t="s">
        <v>210</v>
      </c>
      <c r="D95" s="8"/>
      <c r="E95" s="8" t="s">
        <v>216</v>
      </c>
      <c r="F95" s="21" t="s">
        <v>54</v>
      </c>
      <c r="G95" s="445">
        <f t="shared" si="104"/>
        <v>315</v>
      </c>
      <c r="H95" s="445">
        <v>300</v>
      </c>
      <c r="I95" s="445">
        <v>15</v>
      </c>
      <c r="J95" s="451"/>
      <c r="K95" s="483">
        <f t="shared" si="109"/>
        <v>3.8999999999999773</v>
      </c>
      <c r="L95" s="451">
        <f t="shared" si="110"/>
        <v>3.8999999999999773</v>
      </c>
      <c r="M95" s="451"/>
      <c r="N95" s="483">
        <f t="shared" si="111"/>
        <v>2.1999999999999993</v>
      </c>
      <c r="O95" s="451"/>
      <c r="P95" s="451">
        <f t="shared" si="112"/>
        <v>2.1999999999999993</v>
      </c>
      <c r="Q95" s="466">
        <v>313.3</v>
      </c>
      <c r="R95" s="451">
        <v>296.10000000000002</v>
      </c>
      <c r="S95" s="451">
        <v>17.2</v>
      </c>
      <c r="T95" s="451"/>
      <c r="U95" s="448">
        <f t="shared" si="100"/>
        <v>313.3</v>
      </c>
      <c r="V95" s="448">
        <f t="shared" si="101"/>
        <v>296.10000000000002</v>
      </c>
      <c r="W95" s="448">
        <f t="shared" si="101"/>
        <v>17.2</v>
      </c>
      <c r="X95" s="445">
        <f t="shared" si="107"/>
        <v>0</v>
      </c>
      <c r="Y95" s="451"/>
      <c r="Z95" s="451"/>
      <c r="AA95" s="493"/>
      <c r="AB95" s="494"/>
      <c r="AC95" s="494"/>
      <c r="AD95" s="451">
        <f t="shared" si="113"/>
        <v>313.3</v>
      </c>
      <c r="AE95" s="483">
        <v>296.10000000000002</v>
      </c>
      <c r="AF95" s="483">
        <v>17.2</v>
      </c>
      <c r="AG95" s="451"/>
      <c r="AH95" s="483"/>
      <c r="AI95" s="483"/>
      <c r="AJ95" s="451"/>
      <c r="AK95" s="451"/>
      <c r="AL95" s="8"/>
    </row>
    <row r="96" spans="1:41" ht="45">
      <c r="A96" s="141">
        <f t="shared" si="103"/>
        <v>13</v>
      </c>
      <c r="B96" s="382" t="s">
        <v>217</v>
      </c>
      <c r="C96" s="383" t="s">
        <v>218</v>
      </c>
      <c r="D96" s="383"/>
      <c r="E96" s="22" t="s">
        <v>219</v>
      </c>
      <c r="F96" s="21" t="s">
        <v>55</v>
      </c>
      <c r="G96" s="445">
        <f t="shared" si="104"/>
        <v>630</v>
      </c>
      <c r="H96" s="445">
        <v>600</v>
      </c>
      <c r="I96" s="445">
        <v>30</v>
      </c>
      <c r="J96" s="451"/>
      <c r="K96" s="483">
        <f t="shared" si="99"/>
        <v>0</v>
      </c>
      <c r="L96" s="451"/>
      <c r="M96" s="451"/>
      <c r="N96" s="483"/>
      <c r="O96" s="451"/>
      <c r="P96" s="451"/>
      <c r="Q96" s="445">
        <f t="shared" ref="Q96" si="114">R96+S96</f>
        <v>630</v>
      </c>
      <c r="R96" s="445">
        <v>600</v>
      </c>
      <c r="S96" s="445">
        <v>30</v>
      </c>
      <c r="T96" s="451"/>
      <c r="U96" s="448">
        <f t="shared" si="100"/>
        <v>0</v>
      </c>
      <c r="V96" s="448">
        <f t="shared" si="101"/>
        <v>0</v>
      </c>
      <c r="W96" s="448">
        <f t="shared" si="101"/>
        <v>0</v>
      </c>
      <c r="X96" s="445">
        <f t="shared" si="107"/>
        <v>0</v>
      </c>
      <c r="Y96" s="451"/>
      <c r="Z96" s="451"/>
      <c r="AA96" s="451"/>
      <c r="AB96" s="483"/>
      <c r="AC96" s="483"/>
      <c r="AD96" s="451"/>
      <c r="AE96" s="483"/>
      <c r="AF96" s="483"/>
      <c r="AG96" s="445">
        <f t="shared" ref="AG96" si="115">AH96+AI96</f>
        <v>630</v>
      </c>
      <c r="AH96" s="445">
        <v>600</v>
      </c>
      <c r="AI96" s="445">
        <v>30</v>
      </c>
      <c r="AJ96" s="451"/>
      <c r="AK96" s="451"/>
      <c r="AL96" s="8"/>
    </row>
    <row r="97" spans="1:41" ht="60">
      <c r="A97" s="141">
        <f t="shared" si="103"/>
        <v>14</v>
      </c>
      <c r="B97" s="495" t="s">
        <v>1113</v>
      </c>
      <c r="C97" s="496" t="s">
        <v>1114</v>
      </c>
      <c r="D97" s="9" t="s">
        <v>55</v>
      </c>
      <c r="E97" s="22" t="s">
        <v>221</v>
      </c>
      <c r="F97" s="9" t="s">
        <v>55</v>
      </c>
      <c r="G97" s="497">
        <f>+H97+I97</f>
        <v>550</v>
      </c>
      <c r="H97" s="497">
        <v>524.15</v>
      </c>
      <c r="I97" s="497">
        <v>25.85</v>
      </c>
      <c r="J97" s="451"/>
      <c r="K97" s="483">
        <f t="shared" si="99"/>
        <v>0</v>
      </c>
      <c r="L97" s="451"/>
      <c r="M97" s="451"/>
      <c r="N97" s="483"/>
      <c r="O97" s="451"/>
      <c r="P97" s="451"/>
      <c r="Q97" s="497">
        <f>+R97+S97</f>
        <v>550</v>
      </c>
      <c r="R97" s="497">
        <v>524.15</v>
      </c>
      <c r="S97" s="497">
        <v>25.85</v>
      </c>
      <c r="T97" s="451"/>
      <c r="U97" s="448">
        <f t="shared" si="100"/>
        <v>0</v>
      </c>
      <c r="V97" s="448">
        <f t="shared" si="101"/>
        <v>0</v>
      </c>
      <c r="W97" s="448">
        <f t="shared" si="101"/>
        <v>0</v>
      </c>
      <c r="X97" s="445">
        <f t="shared" si="107"/>
        <v>0</v>
      </c>
      <c r="Y97" s="451"/>
      <c r="Z97" s="451"/>
      <c r="AA97" s="451"/>
      <c r="AB97" s="483"/>
      <c r="AC97" s="483"/>
      <c r="AD97" s="451"/>
      <c r="AE97" s="483"/>
      <c r="AF97" s="483"/>
      <c r="AG97" s="497">
        <f>+AH97+AI97</f>
        <v>550</v>
      </c>
      <c r="AH97" s="497">
        <v>524.15</v>
      </c>
      <c r="AI97" s="497">
        <v>25.85</v>
      </c>
      <c r="AJ97" s="451"/>
      <c r="AK97" s="451"/>
      <c r="AL97" s="8"/>
    </row>
    <row r="98" spans="1:41" ht="30">
      <c r="A98" s="141">
        <f t="shared" si="103"/>
        <v>15</v>
      </c>
      <c r="B98" s="495" t="s">
        <v>1115</v>
      </c>
      <c r="C98" s="496" t="s">
        <v>1116</v>
      </c>
      <c r="D98" s="9" t="s">
        <v>55</v>
      </c>
      <c r="E98" s="22"/>
      <c r="F98" s="9" t="s">
        <v>55</v>
      </c>
      <c r="G98" s="497">
        <f t="shared" ref="G98:G101" si="116">+H98+I98</f>
        <v>200</v>
      </c>
      <c r="H98" s="497">
        <v>190.5</v>
      </c>
      <c r="I98" s="497">
        <v>9.5</v>
      </c>
      <c r="J98" s="451"/>
      <c r="K98" s="483">
        <f t="shared" si="99"/>
        <v>0</v>
      </c>
      <c r="L98" s="451"/>
      <c r="M98" s="451"/>
      <c r="N98" s="483"/>
      <c r="O98" s="451"/>
      <c r="P98" s="451"/>
      <c r="Q98" s="497">
        <f t="shared" ref="Q98:Q101" si="117">+R98+S98</f>
        <v>200</v>
      </c>
      <c r="R98" s="497">
        <v>190.5</v>
      </c>
      <c r="S98" s="497">
        <v>9.5</v>
      </c>
      <c r="T98" s="451"/>
      <c r="U98" s="448"/>
      <c r="V98" s="448"/>
      <c r="W98" s="448"/>
      <c r="X98" s="445"/>
      <c r="Y98" s="451"/>
      <c r="Z98" s="451"/>
      <c r="AA98" s="451"/>
      <c r="AB98" s="483"/>
      <c r="AC98" s="483"/>
      <c r="AD98" s="451"/>
      <c r="AE98" s="483"/>
      <c r="AF98" s="483"/>
      <c r="AG98" s="497">
        <f t="shared" ref="AG98:AG101" si="118">+AH98+AI98</f>
        <v>200</v>
      </c>
      <c r="AH98" s="497">
        <v>190.5</v>
      </c>
      <c r="AI98" s="497">
        <v>9.5</v>
      </c>
      <c r="AJ98" s="451"/>
      <c r="AK98" s="451"/>
      <c r="AL98" s="8"/>
    </row>
    <row r="99" spans="1:41" ht="45">
      <c r="A99" s="141">
        <f t="shared" si="103"/>
        <v>16</v>
      </c>
      <c r="B99" s="495" t="s">
        <v>1117</v>
      </c>
      <c r="C99" s="496" t="s">
        <v>1118</v>
      </c>
      <c r="D99" s="9" t="s">
        <v>55</v>
      </c>
      <c r="E99" s="22"/>
      <c r="F99" s="9" t="s">
        <v>55</v>
      </c>
      <c r="G99" s="497">
        <f t="shared" si="116"/>
        <v>200</v>
      </c>
      <c r="H99" s="497">
        <v>190.5</v>
      </c>
      <c r="I99" s="497">
        <v>9.5</v>
      </c>
      <c r="J99" s="451"/>
      <c r="K99" s="483">
        <f t="shared" si="99"/>
        <v>0</v>
      </c>
      <c r="L99" s="451"/>
      <c r="M99" s="451"/>
      <c r="N99" s="483"/>
      <c r="O99" s="451"/>
      <c r="P99" s="451"/>
      <c r="Q99" s="497">
        <f t="shared" si="117"/>
        <v>200</v>
      </c>
      <c r="R99" s="497">
        <v>190.5</v>
      </c>
      <c r="S99" s="497">
        <v>9.5</v>
      </c>
      <c r="T99" s="451"/>
      <c r="U99" s="448"/>
      <c r="V99" s="448"/>
      <c r="W99" s="448"/>
      <c r="X99" s="445"/>
      <c r="Y99" s="451"/>
      <c r="Z99" s="451"/>
      <c r="AA99" s="451"/>
      <c r="AB99" s="483"/>
      <c r="AC99" s="483"/>
      <c r="AD99" s="451"/>
      <c r="AE99" s="483"/>
      <c r="AF99" s="483"/>
      <c r="AG99" s="497">
        <f t="shared" si="118"/>
        <v>200</v>
      </c>
      <c r="AH99" s="497">
        <v>190.5</v>
      </c>
      <c r="AI99" s="497">
        <v>9.5</v>
      </c>
      <c r="AJ99" s="451"/>
      <c r="AK99" s="451"/>
      <c r="AL99" s="8"/>
    </row>
    <row r="100" spans="1:41" ht="45">
      <c r="A100" s="141">
        <f t="shared" si="103"/>
        <v>17</v>
      </c>
      <c r="B100" s="495" t="s">
        <v>1119</v>
      </c>
      <c r="C100" s="496" t="s">
        <v>1026</v>
      </c>
      <c r="D100" s="9" t="s">
        <v>55</v>
      </c>
      <c r="E100" s="22"/>
      <c r="F100" s="9" t="s">
        <v>55</v>
      </c>
      <c r="G100" s="497">
        <f t="shared" si="116"/>
        <v>300</v>
      </c>
      <c r="H100" s="497">
        <v>285.5</v>
      </c>
      <c r="I100" s="497">
        <v>14.5</v>
      </c>
      <c r="J100" s="451"/>
      <c r="K100" s="483">
        <f t="shared" si="99"/>
        <v>0</v>
      </c>
      <c r="L100" s="451"/>
      <c r="M100" s="451"/>
      <c r="N100" s="483"/>
      <c r="O100" s="451"/>
      <c r="P100" s="451"/>
      <c r="Q100" s="497">
        <f t="shared" si="117"/>
        <v>300</v>
      </c>
      <c r="R100" s="497">
        <v>285.5</v>
      </c>
      <c r="S100" s="497">
        <v>14.5</v>
      </c>
      <c r="T100" s="451"/>
      <c r="U100" s="448"/>
      <c r="V100" s="448"/>
      <c r="W100" s="448"/>
      <c r="X100" s="445"/>
      <c r="Y100" s="451"/>
      <c r="Z100" s="451"/>
      <c r="AA100" s="451"/>
      <c r="AB100" s="483"/>
      <c r="AC100" s="483"/>
      <c r="AD100" s="451"/>
      <c r="AE100" s="483"/>
      <c r="AF100" s="483"/>
      <c r="AG100" s="497">
        <f t="shared" si="118"/>
        <v>300</v>
      </c>
      <c r="AH100" s="497">
        <v>285.5</v>
      </c>
      <c r="AI100" s="497">
        <v>14.5</v>
      </c>
      <c r="AJ100" s="451"/>
      <c r="AK100" s="451"/>
      <c r="AL100" s="8"/>
    </row>
    <row r="101" spans="1:41" ht="45">
      <c r="A101" s="141">
        <f t="shared" si="103"/>
        <v>18</v>
      </c>
      <c r="B101" s="495" t="s">
        <v>1120</v>
      </c>
      <c r="C101" s="496" t="s">
        <v>1121</v>
      </c>
      <c r="D101" s="9" t="s">
        <v>55</v>
      </c>
      <c r="E101" s="22"/>
      <c r="F101" s="9" t="s">
        <v>55</v>
      </c>
      <c r="G101" s="497">
        <f t="shared" si="116"/>
        <v>239.6</v>
      </c>
      <c r="H101" s="497">
        <v>228</v>
      </c>
      <c r="I101" s="497">
        <v>11.6</v>
      </c>
      <c r="J101" s="451"/>
      <c r="K101" s="483">
        <f t="shared" si="99"/>
        <v>0</v>
      </c>
      <c r="L101" s="451"/>
      <c r="M101" s="451"/>
      <c r="N101" s="483"/>
      <c r="O101" s="451"/>
      <c r="P101" s="451"/>
      <c r="Q101" s="497">
        <f t="shared" si="117"/>
        <v>239.6</v>
      </c>
      <c r="R101" s="497">
        <v>228</v>
      </c>
      <c r="S101" s="497">
        <v>11.6</v>
      </c>
      <c r="T101" s="451"/>
      <c r="U101" s="448"/>
      <c r="V101" s="448"/>
      <c r="W101" s="448"/>
      <c r="X101" s="445"/>
      <c r="Y101" s="451"/>
      <c r="Z101" s="451"/>
      <c r="AA101" s="451"/>
      <c r="AB101" s="483"/>
      <c r="AC101" s="483"/>
      <c r="AD101" s="451"/>
      <c r="AE101" s="483"/>
      <c r="AF101" s="483"/>
      <c r="AG101" s="497">
        <f t="shared" si="118"/>
        <v>239.6</v>
      </c>
      <c r="AH101" s="497">
        <v>228</v>
      </c>
      <c r="AI101" s="497">
        <v>11.6</v>
      </c>
      <c r="AJ101" s="451"/>
      <c r="AK101" s="451"/>
      <c r="AL101" s="8"/>
    </row>
    <row r="102" spans="1:41" ht="30">
      <c r="A102" s="141">
        <f t="shared" si="103"/>
        <v>19</v>
      </c>
      <c r="B102" s="360" t="s">
        <v>802</v>
      </c>
      <c r="C102" s="8" t="s">
        <v>803</v>
      </c>
      <c r="D102" s="8"/>
      <c r="E102" s="22" t="s">
        <v>804</v>
      </c>
      <c r="F102" s="21" t="s">
        <v>55</v>
      </c>
      <c r="G102" s="445">
        <f t="shared" si="104"/>
        <v>498.75</v>
      </c>
      <c r="H102" s="445">
        <v>475</v>
      </c>
      <c r="I102" s="445">
        <f>H102*5%</f>
        <v>23.75</v>
      </c>
      <c r="J102" s="451"/>
      <c r="K102" s="483">
        <f t="shared" si="99"/>
        <v>0</v>
      </c>
      <c r="L102" s="451"/>
      <c r="M102" s="451"/>
      <c r="N102" s="483"/>
      <c r="O102" s="451"/>
      <c r="P102" s="451"/>
      <c r="Q102" s="445">
        <f t="shared" ref="Q102:Q103" si="119">R102+S102</f>
        <v>498.75</v>
      </c>
      <c r="R102" s="445">
        <v>475</v>
      </c>
      <c r="S102" s="445">
        <f>R102*5%</f>
        <v>23.75</v>
      </c>
      <c r="T102" s="451"/>
      <c r="U102" s="448">
        <f t="shared" si="100"/>
        <v>0</v>
      </c>
      <c r="V102" s="448">
        <f t="shared" si="101"/>
        <v>0</v>
      </c>
      <c r="W102" s="448">
        <f t="shared" si="101"/>
        <v>0</v>
      </c>
      <c r="X102" s="445">
        <f t="shared" si="107"/>
        <v>0</v>
      </c>
      <c r="Y102" s="451"/>
      <c r="Z102" s="451"/>
      <c r="AA102" s="451"/>
      <c r="AB102" s="483"/>
      <c r="AC102" s="483"/>
      <c r="AD102" s="451"/>
      <c r="AE102" s="483"/>
      <c r="AF102" s="483"/>
      <c r="AG102" s="445">
        <f t="shared" ref="AG102:AG103" si="120">AH102+AI102</f>
        <v>498.75</v>
      </c>
      <c r="AH102" s="445">
        <v>475</v>
      </c>
      <c r="AI102" s="445">
        <f>AH102*5%</f>
        <v>23.75</v>
      </c>
      <c r="AJ102" s="451"/>
      <c r="AK102" s="451"/>
      <c r="AL102" s="8"/>
    </row>
    <row r="103" spans="1:41" ht="45">
      <c r="A103" s="141">
        <f t="shared" si="103"/>
        <v>20</v>
      </c>
      <c r="B103" s="360" t="s">
        <v>1122</v>
      </c>
      <c r="C103" s="8" t="s">
        <v>1123</v>
      </c>
      <c r="D103" s="8"/>
      <c r="E103" s="22"/>
      <c r="F103" s="21" t="s">
        <v>55</v>
      </c>
      <c r="G103" s="445"/>
      <c r="H103" s="445"/>
      <c r="I103" s="445"/>
      <c r="J103" s="451"/>
      <c r="K103" s="483"/>
      <c r="L103" s="451"/>
      <c r="M103" s="451"/>
      <c r="N103" s="445">
        <f t="shared" ref="N103" si="121">O103+P103</f>
        <v>739.57415999999989</v>
      </c>
      <c r="O103" s="445">
        <f>722.3+9.37416</f>
        <v>731.67415999999992</v>
      </c>
      <c r="P103" s="445">
        <v>7.9</v>
      </c>
      <c r="Q103" s="445">
        <f t="shared" si="119"/>
        <v>739.57415999999989</v>
      </c>
      <c r="R103" s="445">
        <f>722.3+9.37416</f>
        <v>731.67415999999992</v>
      </c>
      <c r="S103" s="445">
        <v>7.9</v>
      </c>
      <c r="T103" s="533" t="s">
        <v>1166</v>
      </c>
      <c r="U103" s="448"/>
      <c r="V103" s="448"/>
      <c r="W103" s="448"/>
      <c r="X103" s="445"/>
      <c r="Y103" s="451"/>
      <c r="Z103" s="451"/>
      <c r="AA103" s="451"/>
      <c r="AB103" s="483"/>
      <c r="AC103" s="483"/>
      <c r="AD103" s="451"/>
      <c r="AE103" s="483"/>
      <c r="AF103" s="483"/>
      <c r="AG103" s="445">
        <f t="shared" si="120"/>
        <v>739.57415999999989</v>
      </c>
      <c r="AH103" s="445">
        <f>722.3+9.37416</f>
        <v>731.67415999999992</v>
      </c>
      <c r="AI103" s="445">
        <v>7.9</v>
      </c>
      <c r="AJ103" s="451"/>
      <c r="AK103" s="451"/>
      <c r="AL103" s="8"/>
    </row>
    <row r="104" spans="1:41" s="14" customFormat="1" ht="23.25" customHeight="1">
      <c r="A104" s="4" t="s">
        <v>993</v>
      </c>
      <c r="B104" s="510" t="s">
        <v>223</v>
      </c>
      <c r="C104" s="418"/>
      <c r="D104" s="418"/>
      <c r="E104" s="417">
        <v>0</v>
      </c>
      <c r="F104" s="417"/>
      <c r="G104" s="446">
        <f>SUM(G105:G118)</f>
        <v>4514.05</v>
      </c>
      <c r="H104" s="446">
        <f t="shared" ref="H104:S104" si="122">SUM(H105:H118)</f>
        <v>4297.9500000000007</v>
      </c>
      <c r="I104" s="446">
        <f t="shared" si="122"/>
        <v>216.1</v>
      </c>
      <c r="J104" s="446">
        <f t="shared" si="122"/>
        <v>0</v>
      </c>
      <c r="K104" s="446">
        <f t="shared" si="122"/>
        <v>514.25409999999988</v>
      </c>
      <c r="L104" s="446">
        <f t="shared" si="122"/>
        <v>497.52</v>
      </c>
      <c r="M104" s="446">
        <f t="shared" si="122"/>
        <v>16.734099999999998</v>
      </c>
      <c r="N104" s="446">
        <f t="shared" si="122"/>
        <v>514.25409999999999</v>
      </c>
      <c r="O104" s="446">
        <f t="shared" si="122"/>
        <v>497.52000000000004</v>
      </c>
      <c r="P104" s="446">
        <f t="shared" si="122"/>
        <v>16.734099999999998</v>
      </c>
      <c r="Q104" s="446">
        <f t="shared" si="122"/>
        <v>4514.05</v>
      </c>
      <c r="R104" s="446">
        <f t="shared" si="122"/>
        <v>4297.9500000000007</v>
      </c>
      <c r="S104" s="446">
        <f t="shared" si="122"/>
        <v>216.1</v>
      </c>
      <c r="T104" s="446"/>
      <c r="U104" s="446">
        <f t="shared" ref="U104:AF104" si="123">SUM(U105:U116)</f>
        <v>3012.2959000000005</v>
      </c>
      <c r="V104" s="446">
        <f t="shared" si="123"/>
        <v>2857.7400000000002</v>
      </c>
      <c r="W104" s="446">
        <f t="shared" si="123"/>
        <v>154.55590000000001</v>
      </c>
      <c r="X104" s="446">
        <f t="shared" si="123"/>
        <v>1113.0999999999999</v>
      </c>
      <c r="Y104" s="446">
        <f t="shared" si="123"/>
        <v>1073.7</v>
      </c>
      <c r="Z104" s="446">
        <f t="shared" si="123"/>
        <v>39.4</v>
      </c>
      <c r="AA104" s="446">
        <f t="shared" si="123"/>
        <v>791.29590000000007</v>
      </c>
      <c r="AB104" s="446">
        <f t="shared" si="123"/>
        <v>737.04</v>
      </c>
      <c r="AC104" s="446">
        <f t="shared" si="123"/>
        <v>54.255899999999997</v>
      </c>
      <c r="AD104" s="446">
        <f t="shared" si="123"/>
        <v>1107.9000000000001</v>
      </c>
      <c r="AE104" s="446">
        <f t="shared" si="123"/>
        <v>1047</v>
      </c>
      <c r="AF104" s="446">
        <f t="shared" si="123"/>
        <v>60.900000000000006</v>
      </c>
      <c r="AG104" s="446">
        <f>SUM(AG105:AG118)</f>
        <v>1500</v>
      </c>
      <c r="AH104" s="446">
        <f>SUM(AH105:AH118)</f>
        <v>1440.21</v>
      </c>
      <c r="AI104" s="446">
        <f>SUM(AI105:AI118)</f>
        <v>59.79</v>
      </c>
      <c r="AJ104" s="446"/>
      <c r="AK104" s="446">
        <f>SUM(AK105:AK116)</f>
        <v>0</v>
      </c>
      <c r="AL104" s="16"/>
      <c r="AM104" s="368">
        <f>+'NĂM 2022'!K46+'NĂM 2023'!N45+'NĂM 2024'!J48+'NĂM 2025'!J43</f>
        <v>4514.05</v>
      </c>
      <c r="AN104" s="368">
        <f>+'NĂM 2022'!L46+'NĂM 2023'!O45+'NĂM 2024'!K48+'NĂM 2025'!K43</f>
        <v>4297.9500000000007</v>
      </c>
      <c r="AO104" s="368">
        <f>+'NĂM 2022'!M46+'NĂM 2023'!P45+'NĂM 2024'!L48+'NĂM 2025'!L43</f>
        <v>216.1</v>
      </c>
    </row>
    <row r="105" spans="1:41" s="146" customFormat="1" ht="60">
      <c r="A105" s="141">
        <v>1</v>
      </c>
      <c r="B105" s="325" t="s">
        <v>224</v>
      </c>
      <c r="C105" s="141" t="s">
        <v>225</v>
      </c>
      <c r="D105" s="141"/>
      <c r="E105" s="141" t="s">
        <v>226</v>
      </c>
      <c r="F105" s="151" t="s">
        <v>52</v>
      </c>
      <c r="G105" s="447">
        <f t="shared" si="104"/>
        <v>270.85000000000002</v>
      </c>
      <c r="H105" s="447">
        <v>257.85000000000002</v>
      </c>
      <c r="I105" s="447">
        <v>13</v>
      </c>
      <c r="J105" s="448"/>
      <c r="K105" s="483">
        <f>+G105-Q105</f>
        <v>0</v>
      </c>
      <c r="L105" s="448"/>
      <c r="M105" s="448"/>
      <c r="N105" s="483"/>
      <c r="O105" s="448"/>
      <c r="P105" s="448"/>
      <c r="Q105" s="466">
        <v>270.85000000000002</v>
      </c>
      <c r="R105" s="448">
        <v>257.85000000000002</v>
      </c>
      <c r="S105" s="448">
        <v>13</v>
      </c>
      <c r="T105" s="448"/>
      <c r="U105" s="448">
        <f>+V105+W105</f>
        <v>270.85000000000002</v>
      </c>
      <c r="V105" s="448">
        <f>+Y105+AB105+AE105</f>
        <v>257.85000000000002</v>
      </c>
      <c r="W105" s="448">
        <f>+Z105+AC105+AF105</f>
        <v>13</v>
      </c>
      <c r="X105" s="445">
        <f t="shared" si="107"/>
        <v>270.85000000000002</v>
      </c>
      <c r="Y105" s="447">
        <v>257.85000000000002</v>
      </c>
      <c r="Z105" s="447">
        <v>13</v>
      </c>
      <c r="AA105" s="447"/>
      <c r="AB105" s="481"/>
      <c r="AC105" s="481"/>
      <c r="AD105" s="447"/>
      <c r="AE105" s="481"/>
      <c r="AF105" s="481"/>
      <c r="AG105" s="447"/>
      <c r="AH105" s="481"/>
      <c r="AI105" s="481"/>
      <c r="AJ105" s="447"/>
      <c r="AK105" s="448"/>
      <c r="AL105" s="145"/>
      <c r="AM105" s="465">
        <f>+G104-U104</f>
        <v>1501.7540999999997</v>
      </c>
      <c r="AN105" s="465">
        <f>+H104-V104</f>
        <v>1440.2100000000005</v>
      </c>
      <c r="AO105" s="465">
        <f>+I104-W104</f>
        <v>61.544099999999986</v>
      </c>
    </row>
    <row r="106" spans="1:41" s="146" customFormat="1" ht="60">
      <c r="A106" s="141">
        <f>+A105+1</f>
        <v>2</v>
      </c>
      <c r="B106" s="325" t="s">
        <v>227</v>
      </c>
      <c r="C106" s="141" t="s">
        <v>228</v>
      </c>
      <c r="D106" s="141"/>
      <c r="E106" s="141" t="s">
        <v>229</v>
      </c>
      <c r="F106" s="151" t="s">
        <v>52</v>
      </c>
      <c r="G106" s="447">
        <f t="shared" si="104"/>
        <v>629.85</v>
      </c>
      <c r="H106" s="447">
        <v>599.85</v>
      </c>
      <c r="I106" s="447">
        <v>30</v>
      </c>
      <c r="J106" s="448"/>
      <c r="K106" s="483">
        <f>+L106+M106</f>
        <v>1.7541000000000011</v>
      </c>
      <c r="L106" s="448"/>
      <c r="M106" s="448">
        <f>+I106-S106</f>
        <v>1.7541000000000011</v>
      </c>
      <c r="N106" s="483"/>
      <c r="O106" s="448"/>
      <c r="P106" s="448"/>
      <c r="Q106" s="466">
        <v>628.09590000000003</v>
      </c>
      <c r="R106" s="448">
        <v>599.85</v>
      </c>
      <c r="S106" s="448">
        <v>28.245899999999999</v>
      </c>
      <c r="T106" s="448"/>
      <c r="U106" s="448">
        <f t="shared" ref="U106:U116" si="124">+V106+W106</f>
        <v>628.09590000000003</v>
      </c>
      <c r="V106" s="448">
        <f t="shared" ref="V106:W116" si="125">+Y106+AB106+AE106</f>
        <v>599.85</v>
      </c>
      <c r="W106" s="448">
        <f t="shared" si="125"/>
        <v>28.245899999999999</v>
      </c>
      <c r="X106" s="445">
        <f t="shared" si="107"/>
        <v>572.4</v>
      </c>
      <c r="Y106" s="447">
        <v>558</v>
      </c>
      <c r="Z106" s="447">
        <v>14.4</v>
      </c>
      <c r="AA106" s="447">
        <f>+AB106+AC106</f>
        <v>55.695900000000002</v>
      </c>
      <c r="AB106" s="481">
        <v>41.85</v>
      </c>
      <c r="AC106" s="481">
        <f>15.6-1.7541</f>
        <v>13.8459</v>
      </c>
      <c r="AD106" s="447"/>
      <c r="AE106" s="481"/>
      <c r="AF106" s="481"/>
      <c r="AG106" s="447"/>
      <c r="AH106" s="481"/>
      <c r="AI106" s="481"/>
      <c r="AJ106" s="447"/>
      <c r="AK106" s="448"/>
      <c r="AL106" s="145"/>
      <c r="AM106" s="369">
        <f>+AM105-AG104</f>
        <v>1.7540999999996529</v>
      </c>
      <c r="AN106" s="369">
        <f t="shared" ref="AN106:AO106" si="126">+AN105-AH104</f>
        <v>0</v>
      </c>
      <c r="AO106" s="369">
        <f t="shared" si="126"/>
        <v>1.7540999999999869</v>
      </c>
    </row>
    <row r="107" spans="1:41" s="146" customFormat="1" ht="75">
      <c r="A107" s="141">
        <f t="shared" ref="A107:A118" si="127">+A106+1</f>
        <v>3</v>
      </c>
      <c r="B107" s="325" t="s">
        <v>230</v>
      </c>
      <c r="C107" s="141" t="s">
        <v>231</v>
      </c>
      <c r="D107" s="141"/>
      <c r="E107" s="141" t="s">
        <v>110</v>
      </c>
      <c r="F107" s="151" t="s">
        <v>52</v>
      </c>
      <c r="G107" s="447">
        <f t="shared" si="104"/>
        <v>269.85000000000002</v>
      </c>
      <c r="H107" s="447">
        <v>257.85000000000002</v>
      </c>
      <c r="I107" s="447">
        <v>12</v>
      </c>
      <c r="J107" s="448"/>
      <c r="K107" s="483">
        <f t="shared" ref="K107:K116" si="128">+G107-Q107</f>
        <v>0</v>
      </c>
      <c r="L107" s="448"/>
      <c r="M107" s="448"/>
      <c r="N107" s="483"/>
      <c r="O107" s="448"/>
      <c r="P107" s="448"/>
      <c r="Q107" s="466">
        <v>269.85000000000002</v>
      </c>
      <c r="R107" s="448">
        <v>257.85000000000002</v>
      </c>
      <c r="S107" s="448">
        <v>12</v>
      </c>
      <c r="T107" s="448"/>
      <c r="U107" s="448">
        <f t="shared" si="124"/>
        <v>269.85000000000002</v>
      </c>
      <c r="V107" s="448">
        <f t="shared" si="125"/>
        <v>257.85000000000002</v>
      </c>
      <c r="W107" s="448">
        <f t="shared" si="125"/>
        <v>12</v>
      </c>
      <c r="X107" s="445">
        <f t="shared" si="107"/>
        <v>269.85000000000002</v>
      </c>
      <c r="Y107" s="447">
        <v>257.85000000000002</v>
      </c>
      <c r="Z107" s="447">
        <v>12</v>
      </c>
      <c r="AA107" s="447"/>
      <c r="AB107" s="481"/>
      <c r="AC107" s="481"/>
      <c r="AD107" s="447"/>
      <c r="AE107" s="481"/>
      <c r="AF107" s="481"/>
      <c r="AG107" s="447"/>
      <c r="AH107" s="481"/>
      <c r="AI107" s="481"/>
      <c r="AJ107" s="447"/>
      <c r="AK107" s="448"/>
      <c r="AL107" s="145"/>
      <c r="AM107" s="369"/>
      <c r="AN107" s="369"/>
      <c r="AO107" s="369"/>
    </row>
    <row r="108" spans="1:41" s="146" customFormat="1" ht="60">
      <c r="A108" s="141">
        <f t="shared" si="127"/>
        <v>4</v>
      </c>
      <c r="B108" s="325" t="s">
        <v>232</v>
      </c>
      <c r="C108" s="141" t="s">
        <v>225</v>
      </c>
      <c r="D108" s="141"/>
      <c r="E108" s="141" t="s">
        <v>226</v>
      </c>
      <c r="F108" s="151" t="s">
        <v>53</v>
      </c>
      <c r="G108" s="447">
        <f t="shared" si="104"/>
        <v>357</v>
      </c>
      <c r="H108" s="447">
        <v>342</v>
      </c>
      <c r="I108" s="447">
        <v>15</v>
      </c>
      <c r="J108" s="448"/>
      <c r="K108" s="483"/>
      <c r="L108" s="448"/>
      <c r="M108" s="448"/>
      <c r="N108" s="483">
        <f>+O108+P108</f>
        <v>14.249999999999989</v>
      </c>
      <c r="O108" s="448">
        <f>+R108-H108</f>
        <v>7.5099999999999909</v>
      </c>
      <c r="P108" s="448">
        <f>+S108-I108</f>
        <v>6.7399999999999984</v>
      </c>
      <c r="Q108" s="466">
        <v>371.25</v>
      </c>
      <c r="R108" s="448">
        <v>349.51</v>
      </c>
      <c r="S108" s="448">
        <v>21.74</v>
      </c>
      <c r="T108" s="448"/>
      <c r="U108" s="448">
        <f t="shared" si="124"/>
        <v>371.25</v>
      </c>
      <c r="V108" s="448">
        <f t="shared" si="125"/>
        <v>349.51</v>
      </c>
      <c r="W108" s="448">
        <f t="shared" si="125"/>
        <v>21.74</v>
      </c>
      <c r="X108" s="445">
        <f t="shared" si="107"/>
        <v>0</v>
      </c>
      <c r="Y108" s="448"/>
      <c r="Z108" s="448"/>
      <c r="AA108" s="448">
        <f>+AB108+AC108</f>
        <v>371.25</v>
      </c>
      <c r="AB108" s="483">
        <v>349.51</v>
      </c>
      <c r="AC108" s="483">
        <v>21.74</v>
      </c>
      <c r="AD108" s="448"/>
      <c r="AE108" s="483"/>
      <c r="AF108" s="483"/>
      <c r="AG108" s="448"/>
      <c r="AH108" s="483"/>
      <c r="AI108" s="483"/>
      <c r="AJ108" s="448"/>
      <c r="AK108" s="448"/>
      <c r="AL108" s="145"/>
      <c r="AM108" s="369"/>
      <c r="AN108" s="369"/>
      <c r="AO108" s="369"/>
    </row>
    <row r="109" spans="1:41" s="146" customFormat="1" ht="75">
      <c r="A109" s="141">
        <f t="shared" si="127"/>
        <v>5</v>
      </c>
      <c r="B109" s="325" t="s">
        <v>233</v>
      </c>
      <c r="C109" s="141" t="s">
        <v>231</v>
      </c>
      <c r="D109" s="141"/>
      <c r="E109" s="141" t="s">
        <v>110</v>
      </c>
      <c r="F109" s="151" t="s">
        <v>53</v>
      </c>
      <c r="G109" s="447">
        <f t="shared" si="104"/>
        <v>359.1</v>
      </c>
      <c r="H109" s="447">
        <v>342</v>
      </c>
      <c r="I109" s="447">
        <v>17.100000000000001</v>
      </c>
      <c r="J109" s="448"/>
      <c r="K109" s="483"/>
      <c r="L109" s="448"/>
      <c r="M109" s="448"/>
      <c r="N109" s="483">
        <f t="shared" ref="N109:N110" si="129">+O109+P109</f>
        <v>5.2500000000000071</v>
      </c>
      <c r="O109" s="448">
        <f t="shared" ref="O109:O110" si="130">+R109-H109</f>
        <v>3.6800000000000068</v>
      </c>
      <c r="P109" s="448">
        <f t="shared" ref="P109:P110" si="131">+S109-I109</f>
        <v>1.5700000000000003</v>
      </c>
      <c r="Q109" s="466">
        <v>364.35</v>
      </c>
      <c r="R109" s="448">
        <v>345.68</v>
      </c>
      <c r="S109" s="448">
        <v>18.670000000000002</v>
      </c>
      <c r="T109" s="448"/>
      <c r="U109" s="448">
        <f t="shared" si="124"/>
        <v>364.35</v>
      </c>
      <c r="V109" s="448">
        <f t="shared" si="125"/>
        <v>345.68</v>
      </c>
      <c r="W109" s="448">
        <f t="shared" si="125"/>
        <v>18.670000000000002</v>
      </c>
      <c r="X109" s="445">
        <f t="shared" si="107"/>
        <v>0</v>
      </c>
      <c r="Y109" s="448"/>
      <c r="Z109" s="448"/>
      <c r="AA109" s="448">
        <f>+AB109+AC109</f>
        <v>364.35</v>
      </c>
      <c r="AB109" s="483">
        <v>345.68</v>
      </c>
      <c r="AC109" s="483">
        <v>18.670000000000002</v>
      </c>
      <c r="AD109" s="448"/>
      <c r="AE109" s="483"/>
      <c r="AF109" s="483"/>
      <c r="AG109" s="448"/>
      <c r="AH109" s="483"/>
      <c r="AI109" s="483"/>
      <c r="AJ109" s="448"/>
      <c r="AK109" s="448"/>
      <c r="AL109" s="145"/>
      <c r="AM109" s="369"/>
      <c r="AN109" s="369"/>
      <c r="AO109" s="369"/>
    </row>
    <row r="110" spans="1:41" s="146" customFormat="1" ht="75">
      <c r="A110" s="141">
        <f t="shared" si="127"/>
        <v>6</v>
      </c>
      <c r="B110" s="325" t="s">
        <v>234</v>
      </c>
      <c r="C110" s="141" t="s">
        <v>231</v>
      </c>
      <c r="D110" s="141"/>
      <c r="E110" s="141" t="s">
        <v>235</v>
      </c>
      <c r="F110" s="151" t="s">
        <v>53</v>
      </c>
      <c r="G110" s="447">
        <f t="shared" si="104"/>
        <v>320</v>
      </c>
      <c r="H110" s="447">
        <v>300</v>
      </c>
      <c r="I110" s="447">
        <v>20</v>
      </c>
      <c r="J110" s="448"/>
      <c r="K110" s="483"/>
      <c r="L110" s="448"/>
      <c r="M110" s="448"/>
      <c r="N110" s="483">
        <f t="shared" si="129"/>
        <v>49.3</v>
      </c>
      <c r="O110" s="448">
        <f t="shared" si="130"/>
        <v>49</v>
      </c>
      <c r="P110" s="448">
        <f t="shared" si="131"/>
        <v>0.30000000000000071</v>
      </c>
      <c r="Q110" s="466">
        <v>369.3</v>
      </c>
      <c r="R110" s="448">
        <v>349</v>
      </c>
      <c r="S110" s="448">
        <v>20.3</v>
      </c>
      <c r="T110" s="448"/>
      <c r="U110" s="448">
        <f t="shared" si="124"/>
        <v>369.3</v>
      </c>
      <c r="V110" s="448">
        <f t="shared" si="125"/>
        <v>349</v>
      </c>
      <c r="W110" s="448">
        <f t="shared" si="125"/>
        <v>20.3</v>
      </c>
      <c r="X110" s="445">
        <f t="shared" si="107"/>
        <v>0</v>
      </c>
      <c r="Y110" s="448"/>
      <c r="Z110" s="448"/>
      <c r="AA110" s="448"/>
      <c r="AB110" s="483"/>
      <c r="AC110" s="483"/>
      <c r="AD110" s="448">
        <f>+AE110+AF110</f>
        <v>369.3</v>
      </c>
      <c r="AE110" s="483">
        <v>349</v>
      </c>
      <c r="AF110" s="483">
        <v>20.3</v>
      </c>
      <c r="AG110" s="448"/>
      <c r="AH110" s="483"/>
      <c r="AI110" s="483"/>
      <c r="AJ110" s="448"/>
      <c r="AK110" s="448"/>
      <c r="AL110" s="145"/>
      <c r="AM110" s="369"/>
      <c r="AN110" s="369"/>
      <c r="AO110" s="369"/>
    </row>
    <row r="111" spans="1:41" s="146" customFormat="1" ht="45">
      <c r="A111" s="141">
        <f t="shared" si="127"/>
        <v>7</v>
      </c>
      <c r="B111" s="325" t="s">
        <v>236</v>
      </c>
      <c r="C111" s="141" t="s">
        <v>228</v>
      </c>
      <c r="D111" s="141"/>
      <c r="E111" s="141" t="s">
        <v>237</v>
      </c>
      <c r="F111" s="151" t="s">
        <v>53</v>
      </c>
      <c r="G111" s="447">
        <f t="shared" si="104"/>
        <v>630</v>
      </c>
      <c r="H111" s="447">
        <v>600</v>
      </c>
      <c r="I111" s="447">
        <v>30</v>
      </c>
      <c r="J111" s="448"/>
      <c r="K111" s="483">
        <f t="shared" si="128"/>
        <v>260.7</v>
      </c>
      <c r="L111" s="448">
        <f>+H111-R111</f>
        <v>251</v>
      </c>
      <c r="M111" s="448">
        <f>+I111-S111</f>
        <v>9.6999999999999993</v>
      </c>
      <c r="N111" s="483"/>
      <c r="O111" s="448"/>
      <c r="P111" s="448"/>
      <c r="Q111" s="466">
        <v>369.3</v>
      </c>
      <c r="R111" s="448">
        <v>349</v>
      </c>
      <c r="S111" s="448">
        <v>20.3</v>
      </c>
      <c r="T111" s="448"/>
      <c r="U111" s="448">
        <f t="shared" si="124"/>
        <v>369.3</v>
      </c>
      <c r="V111" s="448">
        <f t="shared" si="125"/>
        <v>349</v>
      </c>
      <c r="W111" s="448">
        <f t="shared" si="125"/>
        <v>20.3</v>
      </c>
      <c r="X111" s="445">
        <f t="shared" si="107"/>
        <v>0</v>
      </c>
      <c r="Y111" s="448"/>
      <c r="Z111" s="448"/>
      <c r="AA111" s="448"/>
      <c r="AB111" s="483"/>
      <c r="AC111" s="483"/>
      <c r="AD111" s="448">
        <f>+AE111+AF111</f>
        <v>369.3</v>
      </c>
      <c r="AE111" s="483">
        <v>349</v>
      </c>
      <c r="AF111" s="483">
        <v>20.3</v>
      </c>
      <c r="AG111" s="448"/>
      <c r="AH111" s="483"/>
      <c r="AI111" s="483"/>
      <c r="AJ111" s="448"/>
      <c r="AK111" s="448"/>
      <c r="AL111" s="145"/>
      <c r="AM111" s="369"/>
      <c r="AN111" s="369"/>
      <c r="AO111" s="369"/>
    </row>
    <row r="112" spans="1:41" s="146" customFormat="1" ht="75">
      <c r="A112" s="141">
        <f t="shared" si="127"/>
        <v>8</v>
      </c>
      <c r="B112" s="325" t="s">
        <v>242</v>
      </c>
      <c r="C112" s="141" t="s">
        <v>225</v>
      </c>
      <c r="D112" s="141"/>
      <c r="E112" s="141" t="s">
        <v>104</v>
      </c>
      <c r="F112" s="141" t="s">
        <v>54</v>
      </c>
      <c r="G112" s="447">
        <f>H112+I112</f>
        <v>557.79999999999995</v>
      </c>
      <c r="H112" s="447">
        <v>532.79999999999995</v>
      </c>
      <c r="I112" s="447">
        <v>25</v>
      </c>
      <c r="J112" s="448"/>
      <c r="K112" s="483">
        <f t="shared" ref="K112" si="132">+G112-Q112</f>
        <v>188.49999999999994</v>
      </c>
      <c r="L112" s="448">
        <f>+H112-R112</f>
        <v>183.79999999999995</v>
      </c>
      <c r="M112" s="448">
        <f>+I112-S112</f>
        <v>4.6999999999999993</v>
      </c>
      <c r="N112" s="483"/>
      <c r="O112" s="448"/>
      <c r="P112" s="448"/>
      <c r="Q112" s="466">
        <v>369.3</v>
      </c>
      <c r="R112" s="448">
        <v>349</v>
      </c>
      <c r="S112" s="448">
        <v>20.3</v>
      </c>
      <c r="T112" s="448"/>
      <c r="U112" s="448">
        <f>+V112+W112</f>
        <v>369.3</v>
      </c>
      <c r="V112" s="448">
        <f>+Y112+AB112+AE112</f>
        <v>349</v>
      </c>
      <c r="W112" s="448">
        <f>+Z112+AC112+AF112</f>
        <v>20.3</v>
      </c>
      <c r="X112" s="445">
        <f>Y112+Z112</f>
        <v>0</v>
      </c>
      <c r="Y112" s="448"/>
      <c r="Z112" s="448"/>
      <c r="AA112" s="448"/>
      <c r="AB112" s="483"/>
      <c r="AC112" s="483"/>
      <c r="AD112" s="448">
        <f>+AE112+AF112</f>
        <v>369.3</v>
      </c>
      <c r="AE112" s="483">
        <v>349</v>
      </c>
      <c r="AF112" s="483">
        <v>20.3</v>
      </c>
      <c r="AG112" s="448"/>
      <c r="AH112" s="483"/>
      <c r="AI112" s="483"/>
      <c r="AJ112" s="448"/>
      <c r="AK112" s="448"/>
      <c r="AL112" s="145"/>
      <c r="AM112" s="369"/>
      <c r="AN112" s="369"/>
      <c r="AO112" s="369"/>
    </row>
    <row r="113" spans="1:41" s="146" customFormat="1" ht="75">
      <c r="A113" s="141">
        <f t="shared" si="127"/>
        <v>9</v>
      </c>
      <c r="B113" s="325" t="s">
        <v>238</v>
      </c>
      <c r="C113" s="141" t="s">
        <v>225</v>
      </c>
      <c r="D113" s="141"/>
      <c r="E113" s="141" t="s">
        <v>239</v>
      </c>
      <c r="F113" s="151" t="s">
        <v>53</v>
      </c>
      <c r="G113" s="447">
        <f t="shared" si="104"/>
        <v>315</v>
      </c>
      <c r="H113" s="447">
        <v>300</v>
      </c>
      <c r="I113" s="447">
        <v>15</v>
      </c>
      <c r="J113" s="448"/>
      <c r="K113" s="483">
        <f t="shared" si="128"/>
        <v>0</v>
      </c>
      <c r="L113" s="448"/>
      <c r="M113" s="448"/>
      <c r="N113" s="483"/>
      <c r="O113" s="448"/>
      <c r="P113" s="448"/>
      <c r="Q113" s="447">
        <f t="shared" ref="Q113:Q116" si="133">R113+S113</f>
        <v>315</v>
      </c>
      <c r="R113" s="447">
        <v>300</v>
      </c>
      <c r="S113" s="447">
        <v>15</v>
      </c>
      <c r="T113" s="448"/>
      <c r="U113" s="448">
        <f t="shared" si="124"/>
        <v>0</v>
      </c>
      <c r="V113" s="448">
        <f t="shared" si="125"/>
        <v>0</v>
      </c>
      <c r="W113" s="448">
        <f t="shared" si="125"/>
        <v>0</v>
      </c>
      <c r="X113" s="445">
        <f t="shared" si="107"/>
        <v>0</v>
      </c>
      <c r="Y113" s="448"/>
      <c r="Z113" s="448"/>
      <c r="AA113" s="448"/>
      <c r="AB113" s="483"/>
      <c r="AC113" s="483"/>
      <c r="AD113" s="448"/>
      <c r="AE113" s="483"/>
      <c r="AF113" s="483"/>
      <c r="AG113" s="447">
        <f t="shared" ref="AG113:AG114" si="134">AH113+AI113</f>
        <v>315</v>
      </c>
      <c r="AH113" s="447">
        <v>300</v>
      </c>
      <c r="AI113" s="447">
        <v>15</v>
      </c>
      <c r="AJ113" s="448"/>
      <c r="AK113" s="448"/>
      <c r="AL113" s="145"/>
      <c r="AM113" s="369"/>
      <c r="AN113" s="369"/>
      <c r="AO113" s="369"/>
    </row>
    <row r="114" spans="1:41" s="146" customFormat="1" ht="45">
      <c r="A114" s="141">
        <f t="shared" si="127"/>
        <v>10</v>
      </c>
      <c r="B114" s="325" t="s">
        <v>240</v>
      </c>
      <c r="C114" s="141" t="s">
        <v>231</v>
      </c>
      <c r="D114" s="141"/>
      <c r="E114" s="141" t="s">
        <v>241</v>
      </c>
      <c r="F114" s="141" t="s">
        <v>54</v>
      </c>
      <c r="G114" s="447">
        <f t="shared" si="104"/>
        <v>315</v>
      </c>
      <c r="H114" s="447">
        <v>300</v>
      </c>
      <c r="I114" s="447">
        <v>15</v>
      </c>
      <c r="J114" s="448"/>
      <c r="K114" s="483">
        <f t="shared" si="128"/>
        <v>63.300000000000011</v>
      </c>
      <c r="L114" s="448">
        <f>+H114-R114</f>
        <v>62.72</v>
      </c>
      <c r="M114" s="448">
        <f>+I114-S114</f>
        <v>0.58000000000000007</v>
      </c>
      <c r="N114" s="483"/>
      <c r="O114" s="448"/>
      <c r="P114" s="448"/>
      <c r="Q114" s="447">
        <f t="shared" si="133"/>
        <v>251.7</v>
      </c>
      <c r="R114" s="447">
        <v>237.28</v>
      </c>
      <c r="S114" s="447">
        <v>14.42</v>
      </c>
      <c r="T114" s="448"/>
      <c r="U114" s="448">
        <f t="shared" si="124"/>
        <v>0</v>
      </c>
      <c r="V114" s="448">
        <f t="shared" si="125"/>
        <v>0</v>
      </c>
      <c r="W114" s="448">
        <f t="shared" si="125"/>
        <v>0</v>
      </c>
      <c r="X114" s="445">
        <f t="shared" si="107"/>
        <v>0</v>
      </c>
      <c r="Y114" s="448"/>
      <c r="Z114" s="448"/>
      <c r="AA114" s="448"/>
      <c r="AB114" s="483"/>
      <c r="AC114" s="483"/>
      <c r="AD114" s="448"/>
      <c r="AE114" s="483"/>
      <c r="AF114" s="483"/>
      <c r="AG114" s="447">
        <f t="shared" si="134"/>
        <v>251.7</v>
      </c>
      <c r="AH114" s="447">
        <v>237.28</v>
      </c>
      <c r="AI114" s="447">
        <v>14.42</v>
      </c>
      <c r="AJ114" s="448"/>
      <c r="AK114" s="448"/>
      <c r="AL114" s="145"/>
      <c r="AM114" s="369"/>
      <c r="AN114" s="369"/>
      <c r="AO114" s="369"/>
    </row>
    <row r="115" spans="1:41" s="146" customFormat="1" ht="75">
      <c r="A115" s="141">
        <f t="shared" si="127"/>
        <v>11</v>
      </c>
      <c r="B115" s="325" t="s">
        <v>243</v>
      </c>
      <c r="C115" s="141" t="s">
        <v>231</v>
      </c>
      <c r="D115" s="141"/>
      <c r="E115" s="141" t="s">
        <v>159</v>
      </c>
      <c r="F115" s="141" t="s">
        <v>55</v>
      </c>
      <c r="G115" s="447">
        <f t="shared" si="104"/>
        <v>244.8</v>
      </c>
      <c r="H115" s="447">
        <v>232.8</v>
      </c>
      <c r="I115" s="447">
        <v>12</v>
      </c>
      <c r="J115" s="448"/>
      <c r="K115" s="483">
        <f t="shared" si="128"/>
        <v>0</v>
      </c>
      <c r="L115" s="448"/>
      <c r="M115" s="448"/>
      <c r="N115" s="483"/>
      <c r="O115" s="448"/>
      <c r="P115" s="448"/>
      <c r="Q115" s="447">
        <f t="shared" si="133"/>
        <v>244.8</v>
      </c>
      <c r="R115" s="447">
        <v>232.8</v>
      </c>
      <c r="S115" s="447">
        <v>12</v>
      </c>
      <c r="T115" s="448"/>
      <c r="U115" s="448">
        <f t="shared" si="124"/>
        <v>0</v>
      </c>
      <c r="V115" s="448">
        <f t="shared" si="125"/>
        <v>0</v>
      </c>
      <c r="W115" s="448">
        <f t="shared" si="125"/>
        <v>0</v>
      </c>
      <c r="X115" s="445">
        <f t="shared" si="107"/>
        <v>0</v>
      </c>
      <c r="Y115" s="448"/>
      <c r="Z115" s="448"/>
      <c r="AA115" s="448"/>
      <c r="AB115" s="483"/>
      <c r="AC115" s="483"/>
      <c r="AD115" s="448"/>
      <c r="AE115" s="483"/>
      <c r="AF115" s="483"/>
      <c r="AG115" s="447">
        <f t="shared" ref="AG115:AG116" si="135">AH115+AI115</f>
        <v>244.8</v>
      </c>
      <c r="AH115" s="447">
        <v>232.8</v>
      </c>
      <c r="AI115" s="447">
        <v>12</v>
      </c>
      <c r="AJ115" s="448"/>
      <c r="AK115" s="448"/>
      <c r="AL115" s="145"/>
      <c r="AM115" s="369"/>
      <c r="AN115" s="369"/>
      <c r="AO115" s="369"/>
    </row>
    <row r="116" spans="1:41" s="146" customFormat="1" ht="75">
      <c r="A116" s="141">
        <f t="shared" si="127"/>
        <v>12</v>
      </c>
      <c r="B116" s="325" t="s">
        <v>244</v>
      </c>
      <c r="C116" s="141" t="s">
        <v>228</v>
      </c>
      <c r="D116" s="141"/>
      <c r="E116" s="141" t="s">
        <v>159</v>
      </c>
      <c r="F116" s="141" t="s">
        <v>55</v>
      </c>
      <c r="G116" s="447">
        <f t="shared" si="104"/>
        <v>244.8</v>
      </c>
      <c r="H116" s="447">
        <v>232.8</v>
      </c>
      <c r="I116" s="447">
        <v>12</v>
      </c>
      <c r="J116" s="448"/>
      <c r="K116" s="483">
        <f t="shared" si="128"/>
        <v>0</v>
      </c>
      <c r="L116" s="448"/>
      <c r="M116" s="448"/>
      <c r="N116" s="483"/>
      <c r="O116" s="448"/>
      <c r="P116" s="448"/>
      <c r="Q116" s="447">
        <f t="shared" si="133"/>
        <v>244.8</v>
      </c>
      <c r="R116" s="447">
        <v>232.8</v>
      </c>
      <c r="S116" s="447">
        <v>12</v>
      </c>
      <c r="T116" s="448"/>
      <c r="U116" s="448">
        <f t="shared" si="124"/>
        <v>0</v>
      </c>
      <c r="V116" s="448">
        <f t="shared" si="125"/>
        <v>0</v>
      </c>
      <c r="W116" s="448">
        <f t="shared" si="125"/>
        <v>0</v>
      </c>
      <c r="X116" s="445">
        <f t="shared" si="107"/>
        <v>0</v>
      </c>
      <c r="Y116" s="448"/>
      <c r="Z116" s="448"/>
      <c r="AA116" s="448"/>
      <c r="AB116" s="483"/>
      <c r="AC116" s="483"/>
      <c r="AD116" s="448"/>
      <c r="AE116" s="483"/>
      <c r="AF116" s="483"/>
      <c r="AG116" s="447">
        <f t="shared" si="135"/>
        <v>244.8</v>
      </c>
      <c r="AH116" s="447">
        <v>232.8</v>
      </c>
      <c r="AI116" s="447">
        <v>12</v>
      </c>
      <c r="AJ116" s="448"/>
      <c r="AK116" s="448"/>
      <c r="AL116" s="145"/>
      <c r="AM116" s="369"/>
      <c r="AN116" s="369"/>
      <c r="AO116" s="369"/>
    </row>
    <row r="117" spans="1:41" s="146" customFormat="1" ht="45">
      <c r="A117" s="141">
        <f t="shared" si="127"/>
        <v>13</v>
      </c>
      <c r="B117" s="325" t="s">
        <v>1144</v>
      </c>
      <c r="C117" s="141" t="s">
        <v>228</v>
      </c>
      <c r="D117" s="141"/>
      <c r="E117" s="141"/>
      <c r="F117" s="141" t="s">
        <v>55</v>
      </c>
      <c r="G117" s="447"/>
      <c r="H117" s="447"/>
      <c r="I117" s="447"/>
      <c r="J117" s="448"/>
      <c r="K117" s="483"/>
      <c r="L117" s="448"/>
      <c r="M117" s="448"/>
      <c r="N117" s="448">
        <f>+O117+P117</f>
        <v>257.80410000000001</v>
      </c>
      <c r="O117" s="483">
        <v>252.4</v>
      </c>
      <c r="P117" s="483">
        <f>3.65+1.7541</f>
        <v>5.4040999999999997</v>
      </c>
      <c r="Q117" s="448">
        <f>+R117+S117</f>
        <v>257.80410000000001</v>
      </c>
      <c r="R117" s="483">
        <v>252.4</v>
      </c>
      <c r="S117" s="483">
        <f>3.65+1.7541</f>
        <v>5.4040999999999997</v>
      </c>
      <c r="T117" s="533" t="s">
        <v>1166</v>
      </c>
      <c r="U117" s="448"/>
      <c r="V117" s="448"/>
      <c r="W117" s="448"/>
      <c r="X117" s="445"/>
      <c r="Y117" s="448"/>
      <c r="Z117" s="448"/>
      <c r="AA117" s="448"/>
      <c r="AB117" s="483"/>
      <c r="AC117" s="483"/>
      <c r="AD117" s="448"/>
      <c r="AE117" s="483"/>
      <c r="AF117" s="483"/>
      <c r="AG117" s="448">
        <f>+AH117+AI117</f>
        <v>256.05</v>
      </c>
      <c r="AH117" s="483">
        <v>252.4</v>
      </c>
      <c r="AI117" s="483">
        <v>3.65</v>
      </c>
      <c r="AJ117" s="448"/>
      <c r="AK117" s="448"/>
      <c r="AL117" s="145"/>
      <c r="AM117" s="369"/>
      <c r="AN117" s="369"/>
      <c r="AO117" s="369"/>
    </row>
    <row r="118" spans="1:41" s="146" customFormat="1" ht="45">
      <c r="A118" s="141">
        <f t="shared" si="127"/>
        <v>14</v>
      </c>
      <c r="B118" s="325" t="s">
        <v>1145</v>
      </c>
      <c r="C118" s="141" t="s">
        <v>225</v>
      </c>
      <c r="D118" s="141"/>
      <c r="E118" s="141"/>
      <c r="F118" s="141" t="s">
        <v>55</v>
      </c>
      <c r="G118" s="447"/>
      <c r="H118" s="447"/>
      <c r="I118" s="447"/>
      <c r="J118" s="448"/>
      <c r="K118" s="483"/>
      <c r="L118" s="448"/>
      <c r="M118" s="448"/>
      <c r="N118" s="448">
        <f>+O118+P118</f>
        <v>187.65</v>
      </c>
      <c r="O118" s="483">
        <v>184.93</v>
      </c>
      <c r="P118" s="483">
        <v>2.72</v>
      </c>
      <c r="Q118" s="448">
        <f>+R118+S118</f>
        <v>187.65</v>
      </c>
      <c r="R118" s="483">
        <v>184.93</v>
      </c>
      <c r="S118" s="483">
        <v>2.72</v>
      </c>
      <c r="T118" s="533" t="s">
        <v>1166</v>
      </c>
      <c r="U118" s="448"/>
      <c r="V118" s="448"/>
      <c r="W118" s="448"/>
      <c r="X118" s="445"/>
      <c r="Y118" s="448"/>
      <c r="Z118" s="448"/>
      <c r="AA118" s="448"/>
      <c r="AB118" s="483"/>
      <c r="AC118" s="483"/>
      <c r="AD118" s="448"/>
      <c r="AE118" s="483"/>
      <c r="AF118" s="483"/>
      <c r="AG118" s="448">
        <f>+AH118+AI118</f>
        <v>187.65</v>
      </c>
      <c r="AH118" s="483">
        <v>184.93</v>
      </c>
      <c r="AI118" s="483">
        <v>2.72</v>
      </c>
      <c r="AJ118" s="448"/>
      <c r="AK118" s="448"/>
      <c r="AL118" s="145"/>
      <c r="AM118" s="369"/>
      <c r="AN118" s="369"/>
      <c r="AO118" s="369"/>
    </row>
    <row r="119" spans="1:41" s="156" customFormat="1" ht="23.25" customHeight="1">
      <c r="A119" s="419" t="s">
        <v>994</v>
      </c>
      <c r="B119" s="507" t="s">
        <v>246</v>
      </c>
      <c r="C119" s="420"/>
      <c r="D119" s="420"/>
      <c r="E119" s="421">
        <v>0</v>
      </c>
      <c r="F119" s="421"/>
      <c r="G119" s="452">
        <f>SUM(G120:G134)</f>
        <v>10104.369999999999</v>
      </c>
      <c r="H119" s="452">
        <f t="shared" ref="H119:T119" si="136">SUM(H120:H134)</f>
        <v>9623.2099999999991</v>
      </c>
      <c r="I119" s="452">
        <f t="shared" si="136"/>
        <v>481.15999999999997</v>
      </c>
      <c r="J119" s="452">
        <f t="shared" si="136"/>
        <v>0</v>
      </c>
      <c r="K119" s="452">
        <f t="shared" si="136"/>
        <v>995.16000000000008</v>
      </c>
      <c r="L119" s="452">
        <f t="shared" si="136"/>
        <v>949.46</v>
      </c>
      <c r="M119" s="452">
        <f t="shared" si="136"/>
        <v>45.7</v>
      </c>
      <c r="N119" s="452">
        <f t="shared" si="136"/>
        <v>995.15999999999985</v>
      </c>
      <c r="O119" s="452">
        <f t="shared" si="136"/>
        <v>949.45999999999992</v>
      </c>
      <c r="P119" s="452">
        <f t="shared" si="136"/>
        <v>45.699999999999996</v>
      </c>
      <c r="Q119" s="452">
        <f t="shared" si="136"/>
        <v>10104.369999999999</v>
      </c>
      <c r="R119" s="452">
        <f t="shared" si="136"/>
        <v>9623.2099999999991</v>
      </c>
      <c r="S119" s="452">
        <f t="shared" si="136"/>
        <v>481.15999999999997</v>
      </c>
      <c r="T119" s="452">
        <f t="shared" si="136"/>
        <v>0</v>
      </c>
      <c r="U119" s="452">
        <f t="shared" ref="U119:AF119" si="137">SUM(U120:U129)</f>
        <v>6749.45</v>
      </c>
      <c r="V119" s="452">
        <f t="shared" si="137"/>
        <v>6398.1</v>
      </c>
      <c r="W119" s="452">
        <f t="shared" si="137"/>
        <v>351.34999999999997</v>
      </c>
      <c r="X119" s="446">
        <f t="shared" si="137"/>
        <v>1822.1</v>
      </c>
      <c r="Y119" s="452">
        <f t="shared" si="137"/>
        <v>1732.1</v>
      </c>
      <c r="Z119" s="452">
        <f t="shared" si="137"/>
        <v>90</v>
      </c>
      <c r="AA119" s="446">
        <f t="shared" si="137"/>
        <v>2447.25</v>
      </c>
      <c r="AB119" s="452">
        <f t="shared" si="137"/>
        <v>2321.9</v>
      </c>
      <c r="AC119" s="452">
        <f t="shared" si="137"/>
        <v>125.35</v>
      </c>
      <c r="AD119" s="446">
        <f t="shared" si="137"/>
        <v>2480.1</v>
      </c>
      <c r="AE119" s="452">
        <f t="shared" si="137"/>
        <v>2344.1</v>
      </c>
      <c r="AF119" s="452">
        <f t="shared" si="137"/>
        <v>136</v>
      </c>
      <c r="AG119" s="452">
        <f>SUM(AG120:AG134)</f>
        <v>3354.92</v>
      </c>
      <c r="AH119" s="452">
        <f>SUM(AH120:AH134)</f>
        <v>3225.11</v>
      </c>
      <c r="AI119" s="452">
        <f>SUM(AI120:AI134)</f>
        <v>129.81</v>
      </c>
      <c r="AJ119" s="452"/>
      <c r="AK119" s="452">
        <f>SUM(AK120:AK129)</f>
        <v>0</v>
      </c>
      <c r="AL119" s="155"/>
      <c r="AM119" s="372">
        <f>+'NĂM 2022'!K50+'NĂM 2023'!N52+'NĂM 2024'!J51+'NĂM 2025'!J46</f>
        <v>10104.369999999999</v>
      </c>
      <c r="AN119" s="372">
        <f>+'NĂM 2022'!L50+'NĂM 2023'!O52+'NĂM 2024'!K51+'NĂM 2025'!K46</f>
        <v>9623.2099999999991</v>
      </c>
      <c r="AO119" s="372">
        <f>+'NĂM 2022'!M50+'NĂM 2023'!P52+'NĂM 2024'!L51+'NĂM 2025'!L46</f>
        <v>481.15999999999997</v>
      </c>
    </row>
    <row r="120" spans="1:41" s="161" customFormat="1" ht="36" customHeight="1">
      <c r="A120" s="135">
        <v>1</v>
      </c>
      <c r="B120" s="334" t="s">
        <v>813</v>
      </c>
      <c r="C120" s="160" t="s">
        <v>814</v>
      </c>
      <c r="D120" s="160" t="s">
        <v>815</v>
      </c>
      <c r="E120" s="160" t="s">
        <v>909</v>
      </c>
      <c r="F120" s="135" t="s">
        <v>52</v>
      </c>
      <c r="G120" s="449">
        <f>H120+I120</f>
        <v>766.5</v>
      </c>
      <c r="H120" s="449">
        <v>730</v>
      </c>
      <c r="I120" s="449">
        <v>36.5</v>
      </c>
      <c r="J120" s="449"/>
      <c r="K120" s="485">
        <f>+L120+M120</f>
        <v>67.899999999999977</v>
      </c>
      <c r="L120" s="449">
        <f>+H120-R120</f>
        <v>67.899999999999977</v>
      </c>
      <c r="M120" s="449">
        <f>+I120-S120</f>
        <v>0</v>
      </c>
      <c r="N120" s="485"/>
      <c r="O120" s="449"/>
      <c r="P120" s="449"/>
      <c r="Q120" s="449">
        <v>698.6</v>
      </c>
      <c r="R120" s="449">
        <v>662.1</v>
      </c>
      <c r="S120" s="449">
        <v>36.5</v>
      </c>
      <c r="T120" s="449"/>
      <c r="U120" s="449">
        <f>+V120+W120</f>
        <v>698.6</v>
      </c>
      <c r="V120" s="449">
        <f t="shared" ref="V120:W129" si="138">+Y120+AB120+AE120</f>
        <v>662.1</v>
      </c>
      <c r="W120" s="449">
        <f t="shared" si="138"/>
        <v>36.5</v>
      </c>
      <c r="X120" s="505">
        <f>Y120+Z120</f>
        <v>698.6</v>
      </c>
      <c r="Y120" s="449">
        <v>662.1</v>
      </c>
      <c r="Z120" s="449">
        <v>36.5</v>
      </c>
      <c r="AA120" s="449"/>
      <c r="AB120" s="485"/>
      <c r="AC120" s="485"/>
      <c r="AD120" s="449"/>
      <c r="AE120" s="485"/>
      <c r="AF120" s="485"/>
      <c r="AG120" s="449"/>
      <c r="AH120" s="485"/>
      <c r="AI120" s="485"/>
      <c r="AJ120" s="449"/>
      <c r="AK120" s="449"/>
      <c r="AL120" s="135"/>
      <c r="AM120" s="517">
        <f>+G119-U119</f>
        <v>3354.9199999999992</v>
      </c>
      <c r="AN120" s="517">
        <f>+H119-V119</f>
        <v>3225.1099999999988</v>
      </c>
      <c r="AO120" s="517">
        <f>+I119-W119</f>
        <v>129.81</v>
      </c>
    </row>
    <row r="121" spans="1:41" s="161" customFormat="1" ht="75.75" customHeight="1">
      <c r="A121" s="135">
        <f>+A120+1</f>
        <v>2</v>
      </c>
      <c r="B121" s="334" t="s">
        <v>910</v>
      </c>
      <c r="C121" s="160" t="s">
        <v>911</v>
      </c>
      <c r="D121" s="160" t="s">
        <v>816</v>
      </c>
      <c r="E121" s="160" t="s">
        <v>341</v>
      </c>
      <c r="F121" s="135" t="s">
        <v>52</v>
      </c>
      <c r="G121" s="449">
        <f t="shared" ref="G121:G122" si="139">H121+I121</f>
        <v>1123.5</v>
      </c>
      <c r="H121" s="449">
        <v>1070</v>
      </c>
      <c r="I121" s="449">
        <v>53.5</v>
      </c>
      <c r="J121" s="449"/>
      <c r="K121" s="485">
        <f t="shared" ref="K121:K132" si="140">+G121-Q121</f>
        <v>0</v>
      </c>
      <c r="L121" s="449"/>
      <c r="M121" s="449"/>
      <c r="N121" s="485"/>
      <c r="O121" s="449"/>
      <c r="P121" s="449"/>
      <c r="Q121" s="449">
        <v>1123.5</v>
      </c>
      <c r="R121" s="449">
        <v>1070</v>
      </c>
      <c r="S121" s="449">
        <v>53.5</v>
      </c>
      <c r="T121" s="449"/>
      <c r="U121" s="449">
        <f>+V121+W121</f>
        <v>1123.5</v>
      </c>
      <c r="V121" s="449">
        <f t="shared" si="138"/>
        <v>1070</v>
      </c>
      <c r="W121" s="449">
        <f t="shared" si="138"/>
        <v>53.5</v>
      </c>
      <c r="X121" s="505">
        <f>Y121+Z121</f>
        <v>1123.5</v>
      </c>
      <c r="Y121" s="449">
        <v>1070</v>
      </c>
      <c r="Z121" s="449">
        <v>53.5</v>
      </c>
      <c r="AA121" s="449"/>
      <c r="AB121" s="485"/>
      <c r="AC121" s="485"/>
      <c r="AD121" s="449"/>
      <c r="AE121" s="485"/>
      <c r="AF121" s="485"/>
      <c r="AG121" s="449"/>
      <c r="AH121" s="485"/>
      <c r="AI121" s="485"/>
      <c r="AJ121" s="449"/>
      <c r="AK121" s="449"/>
      <c r="AL121" s="135"/>
      <c r="AM121" s="516">
        <f>+AM120-AG119</f>
        <v>0</v>
      </c>
      <c r="AN121" s="516">
        <f t="shared" ref="AN121:AO121" si="141">+AN120-AH119</f>
        <v>0</v>
      </c>
      <c r="AO121" s="516">
        <f t="shared" si="141"/>
        <v>0</v>
      </c>
    </row>
    <row r="122" spans="1:41" s="146" customFormat="1" ht="75">
      <c r="A122" s="135">
        <f t="shared" ref="A122:A134" si="142">+A121+1</f>
        <v>3</v>
      </c>
      <c r="B122" s="325" t="s">
        <v>247</v>
      </c>
      <c r="C122" s="141" t="s">
        <v>248</v>
      </c>
      <c r="D122" s="141"/>
      <c r="E122" s="141" t="s">
        <v>208</v>
      </c>
      <c r="F122" s="141">
        <v>2023</v>
      </c>
      <c r="G122" s="447">
        <f t="shared" si="139"/>
        <v>315</v>
      </c>
      <c r="H122" s="447">
        <v>300</v>
      </c>
      <c r="I122" s="447">
        <v>15</v>
      </c>
      <c r="J122" s="448"/>
      <c r="K122" s="485">
        <f t="shared" si="140"/>
        <v>0</v>
      </c>
      <c r="L122" s="448"/>
      <c r="M122" s="448"/>
      <c r="N122" s="483"/>
      <c r="O122" s="448"/>
      <c r="P122" s="448"/>
      <c r="Q122" s="466">
        <v>315</v>
      </c>
      <c r="R122" s="448">
        <v>300</v>
      </c>
      <c r="S122" s="448">
        <v>15</v>
      </c>
      <c r="T122" s="448"/>
      <c r="U122" s="505">
        <f>+V122+W122</f>
        <v>315</v>
      </c>
      <c r="V122" s="505">
        <f t="shared" si="138"/>
        <v>300</v>
      </c>
      <c r="W122" s="505">
        <f t="shared" si="138"/>
        <v>15</v>
      </c>
      <c r="X122" s="445">
        <f t="shared" ref="X122" si="143">Y122+Z122</f>
        <v>0</v>
      </c>
      <c r="Y122" s="448"/>
      <c r="Z122" s="448"/>
      <c r="AA122" s="448">
        <f>+AB122+AC122</f>
        <v>315</v>
      </c>
      <c r="AB122" s="483">
        <v>300</v>
      </c>
      <c r="AC122" s="483">
        <v>15</v>
      </c>
      <c r="AD122" s="448"/>
      <c r="AE122" s="483"/>
      <c r="AF122" s="483"/>
      <c r="AG122" s="448"/>
      <c r="AH122" s="483"/>
      <c r="AI122" s="483"/>
      <c r="AJ122" s="448"/>
      <c r="AK122" s="448"/>
      <c r="AL122" s="141"/>
      <c r="AM122" s="369"/>
      <c r="AN122" s="369"/>
      <c r="AO122" s="369"/>
    </row>
    <row r="123" spans="1:41" s="146" customFormat="1" ht="75">
      <c r="A123" s="135">
        <f t="shared" si="142"/>
        <v>4</v>
      </c>
      <c r="B123" s="325" t="s">
        <v>249</v>
      </c>
      <c r="C123" s="141" t="s">
        <v>250</v>
      </c>
      <c r="D123" s="141"/>
      <c r="E123" s="141" t="s">
        <v>251</v>
      </c>
      <c r="F123" s="141" t="s">
        <v>53</v>
      </c>
      <c r="G123" s="447">
        <f t="shared" si="104"/>
        <v>945</v>
      </c>
      <c r="H123" s="447">
        <v>900</v>
      </c>
      <c r="I123" s="447">
        <v>45</v>
      </c>
      <c r="J123" s="448"/>
      <c r="K123" s="485">
        <f t="shared" si="140"/>
        <v>0</v>
      </c>
      <c r="L123" s="448"/>
      <c r="M123" s="448"/>
      <c r="N123" s="483"/>
      <c r="O123" s="448"/>
      <c r="P123" s="448"/>
      <c r="Q123" s="466">
        <v>945</v>
      </c>
      <c r="R123" s="448">
        <v>900</v>
      </c>
      <c r="S123" s="448">
        <v>45</v>
      </c>
      <c r="T123" s="448"/>
      <c r="U123" s="505">
        <f t="shared" ref="U123:U129" si="144">+V123+W123</f>
        <v>945</v>
      </c>
      <c r="V123" s="505">
        <f t="shared" si="138"/>
        <v>900</v>
      </c>
      <c r="W123" s="505">
        <f t="shared" si="138"/>
        <v>45</v>
      </c>
      <c r="X123" s="445">
        <f t="shared" si="107"/>
        <v>0</v>
      </c>
      <c r="Y123" s="448"/>
      <c r="Z123" s="448"/>
      <c r="AA123" s="448">
        <f t="shared" ref="AA123:AA125" si="145">+AB123+AC123</f>
        <v>945</v>
      </c>
      <c r="AB123" s="483">
        <v>900</v>
      </c>
      <c r="AC123" s="483">
        <v>45</v>
      </c>
      <c r="AD123" s="448"/>
      <c r="AE123" s="483"/>
      <c r="AF123" s="483"/>
      <c r="AG123" s="448"/>
      <c r="AH123" s="483"/>
      <c r="AI123" s="483"/>
      <c r="AJ123" s="448"/>
      <c r="AK123" s="448"/>
      <c r="AL123" s="141"/>
      <c r="AM123" s="369"/>
      <c r="AN123" s="369"/>
      <c r="AO123" s="369"/>
    </row>
    <row r="124" spans="1:41" s="146" customFormat="1" ht="75">
      <c r="A124" s="135">
        <f t="shared" si="142"/>
        <v>5</v>
      </c>
      <c r="B124" s="325" t="s">
        <v>252</v>
      </c>
      <c r="C124" s="141" t="s">
        <v>253</v>
      </c>
      <c r="D124" s="141"/>
      <c r="E124" s="141" t="s">
        <v>159</v>
      </c>
      <c r="F124" s="141" t="s">
        <v>53</v>
      </c>
      <c r="G124" s="447">
        <f t="shared" si="104"/>
        <v>420</v>
      </c>
      <c r="H124" s="447">
        <v>400</v>
      </c>
      <c r="I124" s="447">
        <v>20</v>
      </c>
      <c r="J124" s="448"/>
      <c r="K124" s="485"/>
      <c r="L124" s="448"/>
      <c r="M124" s="448"/>
      <c r="N124" s="483">
        <f>+O124+P124</f>
        <v>363</v>
      </c>
      <c r="O124" s="448">
        <f>+R124-H124</f>
        <v>336.9</v>
      </c>
      <c r="P124" s="448">
        <f>+S124-I124</f>
        <v>26.1</v>
      </c>
      <c r="Q124" s="466">
        <v>783</v>
      </c>
      <c r="R124" s="448">
        <v>736.9</v>
      </c>
      <c r="S124" s="448">
        <v>46.1</v>
      </c>
      <c r="T124" s="448"/>
      <c r="U124" s="505">
        <f t="shared" si="144"/>
        <v>783</v>
      </c>
      <c r="V124" s="505">
        <f t="shared" si="138"/>
        <v>736.9</v>
      </c>
      <c r="W124" s="505">
        <f t="shared" si="138"/>
        <v>46.1</v>
      </c>
      <c r="X124" s="445">
        <f t="shared" si="107"/>
        <v>0</v>
      </c>
      <c r="Y124" s="448"/>
      <c r="Z124" s="448"/>
      <c r="AA124" s="448">
        <f t="shared" si="145"/>
        <v>783</v>
      </c>
      <c r="AB124" s="483">
        <v>736.9</v>
      </c>
      <c r="AC124" s="483">
        <v>46.1</v>
      </c>
      <c r="AD124" s="448"/>
      <c r="AE124" s="483"/>
      <c r="AF124" s="483"/>
      <c r="AG124" s="448"/>
      <c r="AH124" s="483"/>
      <c r="AI124" s="483"/>
      <c r="AJ124" s="448"/>
      <c r="AK124" s="448"/>
      <c r="AL124" s="141"/>
      <c r="AM124" s="369"/>
      <c r="AN124" s="369"/>
      <c r="AO124" s="369"/>
    </row>
    <row r="125" spans="1:41" s="146" customFormat="1" ht="75">
      <c r="A125" s="135">
        <f t="shared" si="142"/>
        <v>6</v>
      </c>
      <c r="B125" s="325" t="s">
        <v>254</v>
      </c>
      <c r="C125" s="141" t="s">
        <v>255</v>
      </c>
      <c r="D125" s="141"/>
      <c r="E125" s="141" t="s">
        <v>256</v>
      </c>
      <c r="F125" s="141" t="s">
        <v>53</v>
      </c>
      <c r="G125" s="447">
        <f t="shared" si="104"/>
        <v>404.25</v>
      </c>
      <c r="H125" s="447">
        <v>385</v>
      </c>
      <c r="I125" s="447">
        <v>19.25</v>
      </c>
      <c r="J125" s="448"/>
      <c r="K125" s="485">
        <f t="shared" si="140"/>
        <v>0</v>
      </c>
      <c r="L125" s="448"/>
      <c r="M125" s="448"/>
      <c r="N125" s="483"/>
      <c r="O125" s="448"/>
      <c r="P125" s="448"/>
      <c r="Q125" s="466">
        <v>404.25</v>
      </c>
      <c r="R125" s="448">
        <v>385</v>
      </c>
      <c r="S125" s="448">
        <v>19.25</v>
      </c>
      <c r="T125" s="448"/>
      <c r="U125" s="505">
        <f t="shared" si="144"/>
        <v>404.25</v>
      </c>
      <c r="V125" s="505">
        <f t="shared" si="138"/>
        <v>385</v>
      </c>
      <c r="W125" s="505">
        <f t="shared" si="138"/>
        <v>19.25</v>
      </c>
      <c r="X125" s="445">
        <f t="shared" si="107"/>
        <v>0</v>
      </c>
      <c r="Y125" s="448"/>
      <c r="Z125" s="448"/>
      <c r="AA125" s="448">
        <f t="shared" si="145"/>
        <v>404.25</v>
      </c>
      <c r="AB125" s="483">
        <v>385</v>
      </c>
      <c r="AC125" s="483">
        <v>19.25</v>
      </c>
      <c r="AD125" s="448"/>
      <c r="AE125" s="483"/>
      <c r="AF125" s="483"/>
      <c r="AG125" s="448"/>
      <c r="AH125" s="483"/>
      <c r="AI125" s="483"/>
      <c r="AJ125" s="448"/>
      <c r="AK125" s="448"/>
      <c r="AL125" s="141"/>
      <c r="AM125" s="369"/>
      <c r="AN125" s="369"/>
      <c r="AO125" s="369"/>
    </row>
    <row r="126" spans="1:41" s="146" customFormat="1" ht="30">
      <c r="A126" s="135">
        <f t="shared" si="142"/>
        <v>7</v>
      </c>
      <c r="B126" s="325" t="s">
        <v>264</v>
      </c>
      <c r="C126" s="141" t="s">
        <v>248</v>
      </c>
      <c r="D126" s="141"/>
      <c r="E126" s="141" t="s">
        <v>265</v>
      </c>
      <c r="F126" s="141" t="s">
        <v>54</v>
      </c>
      <c r="G126" s="447">
        <f t="shared" si="104"/>
        <v>945</v>
      </c>
      <c r="H126" s="447">
        <v>900</v>
      </c>
      <c r="I126" s="447">
        <v>45</v>
      </c>
      <c r="J126" s="448"/>
      <c r="K126" s="485">
        <f>+L126+M126</f>
        <v>100</v>
      </c>
      <c r="L126" s="449">
        <f>+H126-R126</f>
        <v>100</v>
      </c>
      <c r="M126" s="449"/>
      <c r="N126" s="483">
        <f>+O126+P126</f>
        <v>1.3999999999999986</v>
      </c>
      <c r="O126" s="448"/>
      <c r="P126" s="448">
        <f>+S126-I126</f>
        <v>1.3999999999999986</v>
      </c>
      <c r="Q126" s="466">
        <v>846.4</v>
      </c>
      <c r="R126" s="448">
        <v>800</v>
      </c>
      <c r="S126" s="448">
        <v>46.4</v>
      </c>
      <c r="T126" s="448"/>
      <c r="U126" s="505">
        <f t="shared" si="144"/>
        <v>846.4</v>
      </c>
      <c r="V126" s="505">
        <f t="shared" si="138"/>
        <v>800</v>
      </c>
      <c r="W126" s="505">
        <f t="shared" si="138"/>
        <v>46.4</v>
      </c>
      <c r="X126" s="445">
        <f t="shared" si="107"/>
        <v>0</v>
      </c>
      <c r="Y126" s="448"/>
      <c r="Z126" s="448"/>
      <c r="AA126" s="448"/>
      <c r="AB126" s="483"/>
      <c r="AC126" s="483"/>
      <c r="AD126" s="448">
        <f>+AE126+AF126</f>
        <v>846.4</v>
      </c>
      <c r="AE126" s="483">
        <v>800</v>
      </c>
      <c r="AF126" s="483">
        <v>46.4</v>
      </c>
      <c r="AG126" s="448"/>
      <c r="AH126" s="483"/>
      <c r="AI126" s="483"/>
      <c r="AJ126" s="448"/>
      <c r="AK126" s="448"/>
      <c r="AL126" s="145"/>
      <c r="AM126" s="369"/>
      <c r="AN126" s="369"/>
      <c r="AO126" s="369"/>
    </row>
    <row r="127" spans="1:41" s="146" customFormat="1" ht="30">
      <c r="A127" s="135">
        <f t="shared" si="142"/>
        <v>8</v>
      </c>
      <c r="B127" s="325" t="s">
        <v>267</v>
      </c>
      <c r="C127" s="141" t="s">
        <v>268</v>
      </c>
      <c r="D127" s="141"/>
      <c r="E127" s="141" t="s">
        <v>269</v>
      </c>
      <c r="F127" s="141" t="s">
        <v>54</v>
      </c>
      <c r="G127" s="447">
        <f t="shared" si="104"/>
        <v>577.5</v>
      </c>
      <c r="H127" s="447">
        <v>550</v>
      </c>
      <c r="I127" s="447">
        <v>27.5</v>
      </c>
      <c r="J127" s="448"/>
      <c r="K127" s="485">
        <f>+L127+M127</f>
        <v>96.1</v>
      </c>
      <c r="L127" s="449">
        <f>+H127-R127</f>
        <v>95</v>
      </c>
      <c r="M127" s="449">
        <f>+I127-S127</f>
        <v>1.1000000000000014</v>
      </c>
      <c r="N127" s="483"/>
      <c r="O127" s="448"/>
      <c r="P127" s="448"/>
      <c r="Q127" s="466">
        <v>481.4</v>
      </c>
      <c r="R127" s="448">
        <v>455</v>
      </c>
      <c r="S127" s="448">
        <v>26.4</v>
      </c>
      <c r="T127" s="448"/>
      <c r="U127" s="505">
        <f t="shared" si="144"/>
        <v>481.4</v>
      </c>
      <c r="V127" s="505">
        <f t="shared" si="138"/>
        <v>455</v>
      </c>
      <c r="W127" s="505">
        <f t="shared" si="138"/>
        <v>26.4</v>
      </c>
      <c r="X127" s="445">
        <f t="shared" si="107"/>
        <v>0</v>
      </c>
      <c r="Y127" s="448"/>
      <c r="Z127" s="448"/>
      <c r="AA127" s="448"/>
      <c r="AB127" s="483"/>
      <c r="AC127" s="483"/>
      <c r="AD127" s="448">
        <f>+AE127+AF127</f>
        <v>481.4</v>
      </c>
      <c r="AE127" s="483">
        <v>455</v>
      </c>
      <c r="AF127" s="483">
        <v>26.4</v>
      </c>
      <c r="AG127" s="448"/>
      <c r="AH127" s="483"/>
      <c r="AI127" s="483"/>
      <c r="AJ127" s="448"/>
      <c r="AK127" s="448"/>
      <c r="AL127" s="145"/>
      <c r="AM127" s="369"/>
      <c r="AN127" s="369"/>
      <c r="AO127" s="369"/>
    </row>
    <row r="128" spans="1:41" s="146" customFormat="1" ht="75">
      <c r="A128" s="135">
        <f t="shared" si="142"/>
        <v>9</v>
      </c>
      <c r="B128" s="325" t="s">
        <v>270</v>
      </c>
      <c r="C128" s="141" t="s">
        <v>271</v>
      </c>
      <c r="D128" s="141"/>
      <c r="E128" s="141" t="s">
        <v>110</v>
      </c>
      <c r="F128" s="141" t="s">
        <v>54</v>
      </c>
      <c r="G128" s="447">
        <f t="shared" si="104"/>
        <v>735</v>
      </c>
      <c r="H128" s="447">
        <v>700</v>
      </c>
      <c r="I128" s="447">
        <v>35</v>
      </c>
      <c r="J128" s="448"/>
      <c r="K128" s="485">
        <f>+L128+M128</f>
        <v>40</v>
      </c>
      <c r="L128" s="449">
        <f>+H128-R128</f>
        <v>40</v>
      </c>
      <c r="M128" s="449"/>
      <c r="N128" s="483">
        <f>+O128+P128</f>
        <v>3.2999999999999972</v>
      </c>
      <c r="O128" s="448"/>
      <c r="P128" s="448">
        <f>+S128-I128</f>
        <v>3.2999999999999972</v>
      </c>
      <c r="Q128" s="466">
        <v>698.3</v>
      </c>
      <c r="R128" s="448">
        <v>660</v>
      </c>
      <c r="S128" s="448">
        <v>38.299999999999997</v>
      </c>
      <c r="T128" s="448"/>
      <c r="U128" s="505">
        <f t="shared" si="144"/>
        <v>698.3</v>
      </c>
      <c r="V128" s="505">
        <f t="shared" si="138"/>
        <v>660</v>
      </c>
      <c r="W128" s="505">
        <f t="shared" si="138"/>
        <v>38.299999999999997</v>
      </c>
      <c r="X128" s="445">
        <f t="shared" si="107"/>
        <v>0</v>
      </c>
      <c r="Y128" s="448"/>
      <c r="Z128" s="448"/>
      <c r="AA128" s="448"/>
      <c r="AB128" s="483"/>
      <c r="AC128" s="483"/>
      <c r="AD128" s="448">
        <f t="shared" ref="AD128:AD129" si="146">+AE128+AF128</f>
        <v>698.3</v>
      </c>
      <c r="AE128" s="483">
        <v>660</v>
      </c>
      <c r="AF128" s="483">
        <v>38.299999999999997</v>
      </c>
      <c r="AG128" s="448"/>
      <c r="AH128" s="483"/>
      <c r="AI128" s="483"/>
      <c r="AJ128" s="448"/>
      <c r="AK128" s="448"/>
      <c r="AL128" s="141"/>
      <c r="AM128" s="369"/>
      <c r="AN128" s="369"/>
      <c r="AO128" s="369"/>
    </row>
    <row r="129" spans="1:41" s="146" customFormat="1" ht="75">
      <c r="A129" s="135">
        <f t="shared" si="142"/>
        <v>10</v>
      </c>
      <c r="B129" s="325" t="s">
        <v>272</v>
      </c>
      <c r="C129" s="141" t="s">
        <v>273</v>
      </c>
      <c r="D129" s="141"/>
      <c r="E129" s="141" t="s">
        <v>128</v>
      </c>
      <c r="F129" s="141" t="s">
        <v>54</v>
      </c>
      <c r="G129" s="447">
        <f t="shared" si="104"/>
        <v>932.62</v>
      </c>
      <c r="H129" s="447">
        <v>888.21</v>
      </c>
      <c r="I129" s="447">
        <v>44.41</v>
      </c>
      <c r="J129" s="448"/>
      <c r="K129" s="485">
        <f>+L129+M129</f>
        <v>478.62</v>
      </c>
      <c r="L129" s="449">
        <f>+H129-R129</f>
        <v>459.11</v>
      </c>
      <c r="M129" s="449">
        <f>+I129-S129</f>
        <v>19.509999999999998</v>
      </c>
      <c r="N129" s="483"/>
      <c r="O129" s="448"/>
      <c r="P129" s="448"/>
      <c r="Q129" s="466">
        <v>454</v>
      </c>
      <c r="R129" s="448">
        <v>429.1</v>
      </c>
      <c r="S129" s="448">
        <v>24.9</v>
      </c>
      <c r="T129" s="448"/>
      <c r="U129" s="505">
        <f t="shared" si="144"/>
        <v>454</v>
      </c>
      <c r="V129" s="505">
        <f t="shared" si="138"/>
        <v>429.1</v>
      </c>
      <c r="W129" s="505">
        <f t="shared" si="138"/>
        <v>24.9</v>
      </c>
      <c r="X129" s="445">
        <f t="shared" si="107"/>
        <v>0</v>
      </c>
      <c r="Y129" s="448"/>
      <c r="Z129" s="448"/>
      <c r="AA129" s="448"/>
      <c r="AB129" s="483"/>
      <c r="AC129" s="483"/>
      <c r="AD129" s="448">
        <f t="shared" si="146"/>
        <v>454</v>
      </c>
      <c r="AE129" s="483">
        <v>429.1</v>
      </c>
      <c r="AF129" s="483">
        <v>24.9</v>
      </c>
      <c r="AG129" s="448"/>
      <c r="AH129" s="483"/>
      <c r="AI129" s="483"/>
      <c r="AJ129" s="448"/>
      <c r="AK129" s="448"/>
      <c r="AL129" s="141"/>
      <c r="AM129" s="369"/>
      <c r="AN129" s="369"/>
      <c r="AO129" s="369"/>
    </row>
    <row r="130" spans="1:41" s="146" customFormat="1" ht="60">
      <c r="A130" s="135">
        <f t="shared" si="142"/>
        <v>11</v>
      </c>
      <c r="B130" s="325" t="s">
        <v>260</v>
      </c>
      <c r="C130" s="141" t="s">
        <v>255</v>
      </c>
      <c r="D130" s="141"/>
      <c r="E130" s="150" t="s">
        <v>261</v>
      </c>
      <c r="F130" s="141" t="s">
        <v>55</v>
      </c>
      <c r="G130" s="447">
        <f t="shared" ref="G130:G132" si="147">H130+I130</f>
        <v>525</v>
      </c>
      <c r="H130" s="447">
        <v>500</v>
      </c>
      <c r="I130" s="447">
        <v>25</v>
      </c>
      <c r="J130" s="448"/>
      <c r="K130" s="485">
        <f t="shared" si="140"/>
        <v>0</v>
      </c>
      <c r="L130" s="448"/>
      <c r="M130" s="448"/>
      <c r="N130" s="483"/>
      <c r="O130" s="448"/>
      <c r="P130" s="448"/>
      <c r="Q130" s="447">
        <f t="shared" ref="Q130:Q132" si="148">R130+S130</f>
        <v>525</v>
      </c>
      <c r="R130" s="447">
        <v>500</v>
      </c>
      <c r="S130" s="447">
        <v>25</v>
      </c>
      <c r="T130" s="448"/>
      <c r="U130" s="505">
        <f t="shared" ref="U130:U132" si="149">+V130+W130</f>
        <v>0</v>
      </c>
      <c r="V130" s="505">
        <f t="shared" ref="V130:V132" si="150">+Y130+AB130+AE130</f>
        <v>0</v>
      </c>
      <c r="W130" s="505">
        <f t="shared" ref="W130:W132" si="151">+Z130+AC130+AF130</f>
        <v>0</v>
      </c>
      <c r="X130" s="445">
        <f t="shared" ref="X130:X132" si="152">Y130+Z130</f>
        <v>0</v>
      </c>
      <c r="Y130" s="448"/>
      <c r="Z130" s="448"/>
      <c r="AA130" s="448"/>
      <c r="AB130" s="483"/>
      <c r="AC130" s="483"/>
      <c r="AD130" s="448"/>
      <c r="AE130" s="483"/>
      <c r="AF130" s="483"/>
      <c r="AG130" s="447">
        <f t="shared" ref="AG130:AG132" si="153">AH130+AI130</f>
        <v>525</v>
      </c>
      <c r="AH130" s="447">
        <v>500</v>
      </c>
      <c r="AI130" s="447">
        <v>25</v>
      </c>
      <c r="AJ130" s="448"/>
      <c r="AK130" s="448"/>
      <c r="AL130" s="141"/>
      <c r="AM130" s="369"/>
      <c r="AN130" s="369"/>
      <c r="AO130" s="369"/>
    </row>
    <row r="131" spans="1:41" s="146" customFormat="1" ht="60">
      <c r="A131" s="135">
        <f t="shared" si="142"/>
        <v>12</v>
      </c>
      <c r="B131" s="325" t="s">
        <v>262</v>
      </c>
      <c r="C131" s="141" t="s">
        <v>255</v>
      </c>
      <c r="D131" s="141"/>
      <c r="E131" s="150" t="s">
        <v>263</v>
      </c>
      <c r="F131" s="141" t="s">
        <v>55</v>
      </c>
      <c r="G131" s="447">
        <f t="shared" si="147"/>
        <v>630</v>
      </c>
      <c r="H131" s="447">
        <v>600</v>
      </c>
      <c r="I131" s="447">
        <v>30</v>
      </c>
      <c r="J131" s="448"/>
      <c r="K131" s="485">
        <f t="shared" si="140"/>
        <v>0</v>
      </c>
      <c r="L131" s="448"/>
      <c r="M131" s="448"/>
      <c r="N131" s="483"/>
      <c r="O131" s="448"/>
      <c r="P131" s="448"/>
      <c r="Q131" s="447">
        <f t="shared" si="148"/>
        <v>630</v>
      </c>
      <c r="R131" s="447">
        <v>600</v>
      </c>
      <c r="S131" s="447">
        <v>30</v>
      </c>
      <c r="T131" s="448"/>
      <c r="U131" s="505">
        <f t="shared" si="149"/>
        <v>0</v>
      </c>
      <c r="V131" s="505">
        <f t="shared" si="150"/>
        <v>0</v>
      </c>
      <c r="W131" s="505">
        <f t="shared" si="151"/>
        <v>0</v>
      </c>
      <c r="X131" s="445">
        <f t="shared" si="152"/>
        <v>0</v>
      </c>
      <c r="Y131" s="448"/>
      <c r="Z131" s="448"/>
      <c r="AA131" s="448"/>
      <c r="AB131" s="483"/>
      <c r="AC131" s="483"/>
      <c r="AD131" s="448"/>
      <c r="AE131" s="483"/>
      <c r="AF131" s="483"/>
      <c r="AG131" s="447">
        <f t="shared" si="153"/>
        <v>630</v>
      </c>
      <c r="AH131" s="447">
        <v>600</v>
      </c>
      <c r="AI131" s="447">
        <v>30</v>
      </c>
      <c r="AJ131" s="448"/>
      <c r="AK131" s="448"/>
      <c r="AL131" s="141"/>
      <c r="AM131" s="369"/>
      <c r="AN131" s="369"/>
      <c r="AO131" s="369"/>
    </row>
    <row r="132" spans="1:41" s="146" customFormat="1" ht="60">
      <c r="A132" s="135">
        <f t="shared" si="142"/>
        <v>13</v>
      </c>
      <c r="B132" s="325" t="s">
        <v>912</v>
      </c>
      <c r="C132" s="141" t="s">
        <v>258</v>
      </c>
      <c r="D132" s="141"/>
      <c r="E132" s="150" t="s">
        <v>266</v>
      </c>
      <c r="F132" s="141" t="s">
        <v>55</v>
      </c>
      <c r="G132" s="447">
        <f t="shared" si="147"/>
        <v>945</v>
      </c>
      <c r="H132" s="447">
        <v>900</v>
      </c>
      <c r="I132" s="447">
        <v>45</v>
      </c>
      <c r="J132" s="448"/>
      <c r="K132" s="485">
        <f t="shared" si="140"/>
        <v>0</v>
      </c>
      <c r="L132" s="448"/>
      <c r="M132" s="448"/>
      <c r="N132" s="483"/>
      <c r="O132" s="448"/>
      <c r="P132" s="448"/>
      <c r="Q132" s="447">
        <f t="shared" si="148"/>
        <v>945</v>
      </c>
      <c r="R132" s="447">
        <v>900</v>
      </c>
      <c r="S132" s="447">
        <v>45</v>
      </c>
      <c r="T132" s="448"/>
      <c r="U132" s="505">
        <f t="shared" si="149"/>
        <v>0</v>
      </c>
      <c r="V132" s="505">
        <f t="shared" si="150"/>
        <v>0</v>
      </c>
      <c r="W132" s="505">
        <f t="shared" si="151"/>
        <v>0</v>
      </c>
      <c r="X132" s="445">
        <f t="shared" si="152"/>
        <v>0</v>
      </c>
      <c r="Y132" s="448"/>
      <c r="Z132" s="448"/>
      <c r="AA132" s="448"/>
      <c r="AB132" s="483"/>
      <c r="AC132" s="483"/>
      <c r="AD132" s="448"/>
      <c r="AE132" s="483"/>
      <c r="AF132" s="483"/>
      <c r="AG132" s="447">
        <f t="shared" si="153"/>
        <v>945</v>
      </c>
      <c r="AH132" s="447">
        <v>900</v>
      </c>
      <c r="AI132" s="447">
        <v>45</v>
      </c>
      <c r="AJ132" s="448"/>
      <c r="AK132" s="448"/>
      <c r="AL132" s="141"/>
      <c r="AM132" s="369"/>
      <c r="AN132" s="369"/>
      <c r="AO132" s="369"/>
    </row>
    <row r="133" spans="1:41" s="146" customFormat="1" ht="30">
      <c r="A133" s="135">
        <f t="shared" si="142"/>
        <v>14</v>
      </c>
      <c r="B133" s="325" t="s">
        <v>1146</v>
      </c>
      <c r="C133" s="141" t="s">
        <v>253</v>
      </c>
      <c r="D133" s="141" t="s">
        <v>55</v>
      </c>
      <c r="E133" s="141"/>
      <c r="F133" s="141" t="s">
        <v>55</v>
      </c>
      <c r="G133" s="447">
        <f t="shared" ref="G133" si="154">H133+I133</f>
        <v>840</v>
      </c>
      <c r="H133" s="447">
        <v>800</v>
      </c>
      <c r="I133" s="447">
        <v>40</v>
      </c>
      <c r="J133" s="448"/>
      <c r="K133" s="485">
        <f>+L133+M133</f>
        <v>212.54000000000005</v>
      </c>
      <c r="L133" s="449">
        <f>+H133-R133</f>
        <v>187.45000000000005</v>
      </c>
      <c r="M133" s="449">
        <f>+I133-S133</f>
        <v>25.09</v>
      </c>
      <c r="N133" s="483"/>
      <c r="O133" s="448"/>
      <c r="P133" s="448"/>
      <c r="Q133" s="448">
        <f t="shared" ref="Q133:Q134" si="155">+R133+S133</f>
        <v>627.45999999999992</v>
      </c>
      <c r="R133" s="483">
        <v>612.54999999999995</v>
      </c>
      <c r="S133" s="483">
        <f>31.3-16.39</f>
        <v>14.91</v>
      </c>
      <c r="T133" s="448"/>
      <c r="U133" s="505"/>
      <c r="V133" s="505"/>
      <c r="W133" s="505"/>
      <c r="X133" s="445"/>
      <c r="Y133" s="448"/>
      <c r="Z133" s="448"/>
      <c r="AA133" s="448"/>
      <c r="AB133" s="483"/>
      <c r="AC133" s="483"/>
      <c r="AD133" s="448"/>
      <c r="AE133" s="483"/>
      <c r="AF133" s="483"/>
      <c r="AG133" s="448">
        <f t="shared" ref="AG133:AG134" si="156">+AH133+AI133</f>
        <v>627.45999999999992</v>
      </c>
      <c r="AH133" s="483">
        <v>612.54999999999995</v>
      </c>
      <c r="AI133" s="483">
        <f>31.3-16.39</f>
        <v>14.91</v>
      </c>
      <c r="AJ133" s="448"/>
      <c r="AK133" s="448"/>
      <c r="AL133" s="141"/>
      <c r="AM133" s="369"/>
      <c r="AN133" s="369"/>
      <c r="AO133" s="369"/>
    </row>
    <row r="134" spans="1:41" s="146" customFormat="1" ht="30">
      <c r="A134" s="135">
        <f t="shared" si="142"/>
        <v>15</v>
      </c>
      <c r="B134" s="325" t="s">
        <v>1147</v>
      </c>
      <c r="C134" s="141" t="s">
        <v>273</v>
      </c>
      <c r="D134" s="141" t="s">
        <v>55</v>
      </c>
      <c r="E134" s="141"/>
      <c r="F134" s="141" t="s">
        <v>55</v>
      </c>
      <c r="G134" s="447"/>
      <c r="H134" s="447"/>
      <c r="I134" s="447"/>
      <c r="J134" s="448"/>
      <c r="K134" s="485"/>
      <c r="L134" s="448"/>
      <c r="M134" s="448"/>
      <c r="N134" s="448">
        <f t="shared" ref="N134" si="157">+O134+P134</f>
        <v>627.45999999999992</v>
      </c>
      <c r="O134" s="483">
        <v>612.55999999999995</v>
      </c>
      <c r="P134" s="483">
        <v>14.9</v>
      </c>
      <c r="Q134" s="448">
        <f t="shared" si="155"/>
        <v>627.45999999999992</v>
      </c>
      <c r="R134" s="483">
        <v>612.55999999999995</v>
      </c>
      <c r="S134" s="483">
        <v>14.9</v>
      </c>
      <c r="T134" s="448"/>
      <c r="U134" s="505"/>
      <c r="V134" s="505"/>
      <c r="W134" s="505"/>
      <c r="X134" s="445"/>
      <c r="Y134" s="448"/>
      <c r="Z134" s="448"/>
      <c r="AA134" s="448"/>
      <c r="AB134" s="483"/>
      <c r="AC134" s="483"/>
      <c r="AD134" s="448"/>
      <c r="AE134" s="483"/>
      <c r="AF134" s="483"/>
      <c r="AG134" s="448">
        <f t="shared" si="156"/>
        <v>627.45999999999992</v>
      </c>
      <c r="AH134" s="483">
        <v>612.55999999999995</v>
      </c>
      <c r="AI134" s="483">
        <v>14.9</v>
      </c>
      <c r="AJ134" s="448"/>
      <c r="AK134" s="448"/>
      <c r="AL134" s="141"/>
      <c r="AM134" s="369"/>
      <c r="AN134" s="369"/>
      <c r="AO134" s="369"/>
    </row>
    <row r="135" spans="1:41" s="14" customFormat="1" ht="23.25" customHeight="1">
      <c r="A135" s="422" t="s">
        <v>995</v>
      </c>
      <c r="B135" s="508" t="s">
        <v>275</v>
      </c>
      <c r="C135" s="423"/>
      <c r="D135" s="423"/>
      <c r="E135" s="417">
        <v>0</v>
      </c>
      <c r="F135" s="417"/>
      <c r="G135" s="446">
        <f t="shared" ref="G135:T135" si="158">SUM(G136:G150)</f>
        <v>10115.23</v>
      </c>
      <c r="H135" s="446">
        <f t="shared" si="158"/>
        <v>9633.23</v>
      </c>
      <c r="I135" s="446">
        <f t="shared" si="158"/>
        <v>482</v>
      </c>
      <c r="J135" s="446">
        <f t="shared" si="158"/>
        <v>0</v>
      </c>
      <c r="K135" s="446">
        <f t="shared" si="158"/>
        <v>1083.52</v>
      </c>
      <c r="L135" s="446">
        <f t="shared" si="158"/>
        <v>1029.02</v>
      </c>
      <c r="M135" s="446">
        <f t="shared" si="158"/>
        <v>54.5</v>
      </c>
      <c r="N135" s="446">
        <f t="shared" si="158"/>
        <v>1083.52</v>
      </c>
      <c r="O135" s="446">
        <f t="shared" si="158"/>
        <v>1029.02</v>
      </c>
      <c r="P135" s="446">
        <f t="shared" si="158"/>
        <v>54.5</v>
      </c>
      <c r="Q135" s="446">
        <f t="shared" si="158"/>
        <v>10115.230000000001</v>
      </c>
      <c r="R135" s="446">
        <f t="shared" si="158"/>
        <v>9633.2300000000014</v>
      </c>
      <c r="S135" s="446">
        <f t="shared" si="158"/>
        <v>482</v>
      </c>
      <c r="T135" s="446">
        <f t="shared" si="158"/>
        <v>0</v>
      </c>
      <c r="U135" s="446">
        <f t="shared" ref="U135:AF135" si="159">SUM(U136:U146)</f>
        <v>6753.7800000000007</v>
      </c>
      <c r="V135" s="446">
        <f t="shared" si="159"/>
        <v>6404.7800000000007</v>
      </c>
      <c r="W135" s="446">
        <f t="shared" si="159"/>
        <v>349</v>
      </c>
      <c r="X135" s="446">
        <f t="shared" si="159"/>
        <v>1820.8</v>
      </c>
      <c r="Y135" s="446">
        <f t="shared" si="159"/>
        <v>1733.8</v>
      </c>
      <c r="Z135" s="446">
        <f t="shared" si="159"/>
        <v>87</v>
      </c>
      <c r="AA135" s="446">
        <f t="shared" si="159"/>
        <v>2449.88</v>
      </c>
      <c r="AB135" s="446">
        <f t="shared" si="159"/>
        <v>2324.38</v>
      </c>
      <c r="AC135" s="446">
        <f t="shared" si="159"/>
        <v>125.5</v>
      </c>
      <c r="AD135" s="446">
        <f t="shared" si="159"/>
        <v>2483.1</v>
      </c>
      <c r="AE135" s="446">
        <f t="shared" si="159"/>
        <v>2346.6</v>
      </c>
      <c r="AF135" s="446">
        <f t="shared" si="159"/>
        <v>136.5</v>
      </c>
      <c r="AG135" s="446">
        <f>SUM(AG136:AG150)</f>
        <v>3361.45</v>
      </c>
      <c r="AH135" s="446">
        <f>SUM(AH136:AH150)</f>
        <v>3228.45</v>
      </c>
      <c r="AI135" s="446">
        <f>SUM(AI136:AI150)</f>
        <v>133</v>
      </c>
      <c r="AJ135" s="446"/>
      <c r="AK135" s="446">
        <f>SUM(AK136:AK146)</f>
        <v>0</v>
      </c>
      <c r="AL135" s="16"/>
      <c r="AM135" s="368">
        <f>+'NĂM 2022'!K53+'NĂM 2023'!N59+'NĂM 2024'!J56+'NĂM 2025'!J50</f>
        <v>10115.23</v>
      </c>
      <c r="AN135" s="368">
        <f>+'NĂM 2022'!L53+'NĂM 2023'!O59+'NĂM 2024'!K56+'NĂM 2025'!K50</f>
        <v>9633.23</v>
      </c>
      <c r="AO135" s="368">
        <f>+'NĂM 2022'!M53+'NĂM 2023'!P59+'NĂM 2024'!L56+'NĂM 2025'!L50</f>
        <v>482</v>
      </c>
    </row>
    <row r="136" spans="1:41" ht="75">
      <c r="A136" s="27">
        <v>1</v>
      </c>
      <c r="B136" s="336" t="s">
        <v>276</v>
      </c>
      <c r="C136" s="27" t="s">
        <v>277</v>
      </c>
      <c r="D136" s="27"/>
      <c r="E136" s="8" t="s">
        <v>278</v>
      </c>
      <c r="F136" s="27" t="s">
        <v>52</v>
      </c>
      <c r="G136" s="445">
        <f t="shared" si="104"/>
        <v>1316.8</v>
      </c>
      <c r="H136" s="445">
        <v>1253.8</v>
      </c>
      <c r="I136" s="445">
        <v>63</v>
      </c>
      <c r="J136" s="451">
        <v>0</v>
      </c>
      <c r="K136" s="483">
        <f>+G136-Q136</f>
        <v>0</v>
      </c>
      <c r="L136" s="451"/>
      <c r="M136" s="451"/>
      <c r="N136" s="483"/>
      <c r="O136" s="451"/>
      <c r="P136" s="451"/>
      <c r="Q136" s="466">
        <f>+R136+S136</f>
        <v>1316.8</v>
      </c>
      <c r="R136" s="451">
        <v>1253.8</v>
      </c>
      <c r="S136" s="451">
        <v>63</v>
      </c>
      <c r="T136" s="451"/>
      <c r="U136" s="451">
        <f>+V136+W136</f>
        <v>1316.8</v>
      </c>
      <c r="V136" s="451">
        <f>+Y136+AB136+AE136</f>
        <v>1253.8</v>
      </c>
      <c r="W136" s="451">
        <f>+Z136+AC136+AF136</f>
        <v>63</v>
      </c>
      <c r="X136" s="445">
        <f t="shared" si="107"/>
        <v>1316.8</v>
      </c>
      <c r="Y136" s="445">
        <v>1253.8</v>
      </c>
      <c r="Z136" s="445">
        <v>63</v>
      </c>
      <c r="AA136" s="445"/>
      <c r="AB136" s="481"/>
      <c r="AC136" s="481"/>
      <c r="AD136" s="445"/>
      <c r="AE136" s="481"/>
      <c r="AF136" s="481"/>
      <c r="AG136" s="445"/>
      <c r="AH136" s="481"/>
      <c r="AI136" s="481"/>
      <c r="AJ136" s="445"/>
      <c r="AK136" s="451"/>
      <c r="AL136" s="15"/>
      <c r="AM136" s="506">
        <f>+G135-U135</f>
        <v>3361.4499999999989</v>
      </c>
      <c r="AN136" s="506">
        <f>+H135-V135</f>
        <v>3228.4499999999989</v>
      </c>
      <c r="AO136" s="506">
        <f>+I135-W135</f>
        <v>133</v>
      </c>
    </row>
    <row r="137" spans="1:41" ht="75">
      <c r="A137" s="27">
        <f>+A136+1</f>
        <v>2</v>
      </c>
      <c r="B137" s="336" t="s">
        <v>279</v>
      </c>
      <c r="C137" s="27" t="s">
        <v>280</v>
      </c>
      <c r="D137" s="27"/>
      <c r="E137" s="8" t="s">
        <v>281</v>
      </c>
      <c r="F137" s="27" t="s">
        <v>52</v>
      </c>
      <c r="G137" s="445">
        <f t="shared" si="104"/>
        <v>420</v>
      </c>
      <c r="H137" s="445">
        <v>400</v>
      </c>
      <c r="I137" s="445">
        <v>20</v>
      </c>
      <c r="J137" s="451">
        <v>0</v>
      </c>
      <c r="K137" s="483">
        <f t="shared" ref="K137:K149" si="160">+G137-Q137</f>
        <v>0</v>
      </c>
      <c r="L137" s="451"/>
      <c r="M137" s="451"/>
      <c r="N137" s="483"/>
      <c r="O137" s="451"/>
      <c r="P137" s="451"/>
      <c r="Q137" s="466">
        <f t="shared" ref="Q137:Q150" si="161">+R137+S137</f>
        <v>420</v>
      </c>
      <c r="R137" s="451">
        <v>400</v>
      </c>
      <c r="S137" s="451">
        <v>20</v>
      </c>
      <c r="T137" s="451"/>
      <c r="U137" s="451">
        <f t="shared" ref="U137:U146" si="162">+V137+W137</f>
        <v>420</v>
      </c>
      <c r="V137" s="451">
        <f t="shared" ref="V137:W146" si="163">+Y137+AB137+AE137</f>
        <v>400</v>
      </c>
      <c r="W137" s="451">
        <f t="shared" si="163"/>
        <v>20</v>
      </c>
      <c r="X137" s="445">
        <f t="shared" si="107"/>
        <v>420</v>
      </c>
      <c r="Y137" s="445">
        <v>400</v>
      </c>
      <c r="Z137" s="445">
        <v>20</v>
      </c>
      <c r="AA137" s="445"/>
      <c r="AB137" s="481"/>
      <c r="AC137" s="481"/>
      <c r="AD137" s="445"/>
      <c r="AE137" s="481"/>
      <c r="AF137" s="481"/>
      <c r="AG137" s="445"/>
      <c r="AH137" s="481"/>
      <c r="AI137" s="481"/>
      <c r="AJ137" s="445"/>
      <c r="AK137" s="451"/>
      <c r="AL137" s="15"/>
      <c r="AM137" s="365">
        <f>+AM136-AG135</f>
        <v>0</v>
      </c>
      <c r="AN137" s="365">
        <f t="shared" ref="AN137:AO137" si="164">+AN136-AH135</f>
        <v>0</v>
      </c>
      <c r="AO137" s="365">
        <f t="shared" si="164"/>
        <v>0</v>
      </c>
    </row>
    <row r="138" spans="1:41" ht="75">
      <c r="A138" s="27">
        <f t="shared" ref="A138:A150" si="165">+A137+1</f>
        <v>3</v>
      </c>
      <c r="B138" s="336" t="s">
        <v>282</v>
      </c>
      <c r="C138" s="27" t="s">
        <v>275</v>
      </c>
      <c r="D138" s="27"/>
      <c r="E138" s="8" t="s">
        <v>283</v>
      </c>
      <c r="F138" s="27" t="s">
        <v>52</v>
      </c>
      <c r="G138" s="445">
        <f t="shared" si="104"/>
        <v>84</v>
      </c>
      <c r="H138" s="445">
        <v>80</v>
      </c>
      <c r="I138" s="445">
        <v>4</v>
      </c>
      <c r="J138" s="451">
        <v>0</v>
      </c>
      <c r="K138" s="483">
        <f t="shared" si="160"/>
        <v>0</v>
      </c>
      <c r="L138" s="451"/>
      <c r="M138" s="451"/>
      <c r="N138" s="483"/>
      <c r="O138" s="451"/>
      <c r="P138" s="451"/>
      <c r="Q138" s="466">
        <f t="shared" si="161"/>
        <v>84</v>
      </c>
      <c r="R138" s="451">
        <v>80</v>
      </c>
      <c r="S138" s="451">
        <v>4</v>
      </c>
      <c r="T138" s="451"/>
      <c r="U138" s="451">
        <f t="shared" si="162"/>
        <v>84</v>
      </c>
      <c r="V138" s="451">
        <f t="shared" si="163"/>
        <v>80</v>
      </c>
      <c r="W138" s="451">
        <f t="shared" si="163"/>
        <v>4</v>
      </c>
      <c r="X138" s="445">
        <f t="shared" si="107"/>
        <v>84</v>
      </c>
      <c r="Y138" s="445">
        <v>80</v>
      </c>
      <c r="Z138" s="445">
        <v>4</v>
      </c>
      <c r="AA138" s="445"/>
      <c r="AB138" s="481"/>
      <c r="AC138" s="481"/>
      <c r="AD138" s="445"/>
      <c r="AE138" s="481"/>
      <c r="AF138" s="481"/>
      <c r="AG138" s="445"/>
      <c r="AH138" s="481"/>
      <c r="AI138" s="481"/>
      <c r="AJ138" s="445"/>
      <c r="AK138" s="451"/>
      <c r="AL138" s="15"/>
    </row>
    <row r="139" spans="1:41" ht="75">
      <c r="A139" s="27">
        <f t="shared" si="165"/>
        <v>4</v>
      </c>
      <c r="B139" s="336" t="s">
        <v>284</v>
      </c>
      <c r="C139" s="27" t="s">
        <v>285</v>
      </c>
      <c r="D139" s="27"/>
      <c r="E139" s="8" t="s">
        <v>286</v>
      </c>
      <c r="F139" s="27" t="s">
        <v>53</v>
      </c>
      <c r="G139" s="445">
        <f t="shared" si="104"/>
        <v>525</v>
      </c>
      <c r="H139" s="445">
        <v>500</v>
      </c>
      <c r="I139" s="445">
        <v>25</v>
      </c>
      <c r="J139" s="451">
        <v>0</v>
      </c>
      <c r="K139" s="483">
        <f>+L139+M139</f>
        <v>50</v>
      </c>
      <c r="L139" s="451">
        <f>+H139-R139</f>
        <v>50</v>
      </c>
      <c r="M139" s="451"/>
      <c r="N139" s="483">
        <f>+O139+P139</f>
        <v>5</v>
      </c>
      <c r="O139" s="451"/>
      <c r="P139" s="451">
        <f>+S139-I139</f>
        <v>5</v>
      </c>
      <c r="Q139" s="466">
        <f t="shared" si="161"/>
        <v>480</v>
      </c>
      <c r="R139" s="451">
        <v>450</v>
      </c>
      <c r="S139" s="451">
        <v>30</v>
      </c>
      <c r="T139" s="451"/>
      <c r="U139" s="451">
        <f t="shared" si="162"/>
        <v>480</v>
      </c>
      <c r="V139" s="451">
        <f t="shared" si="163"/>
        <v>450</v>
      </c>
      <c r="W139" s="451">
        <f t="shared" si="163"/>
        <v>30</v>
      </c>
      <c r="X139" s="445">
        <f t="shared" si="107"/>
        <v>0</v>
      </c>
      <c r="Y139" s="451"/>
      <c r="Z139" s="451"/>
      <c r="AA139" s="451">
        <f>+AB139+AC139</f>
        <v>480</v>
      </c>
      <c r="AB139" s="483">
        <v>450</v>
      </c>
      <c r="AC139" s="483">
        <v>30</v>
      </c>
      <c r="AD139" s="451"/>
      <c r="AE139" s="483"/>
      <c r="AF139" s="483"/>
      <c r="AG139" s="451"/>
      <c r="AH139" s="483"/>
      <c r="AI139" s="483"/>
      <c r="AJ139" s="451"/>
      <c r="AK139" s="451"/>
      <c r="AL139" s="15"/>
    </row>
    <row r="140" spans="1:41" ht="75">
      <c r="A140" s="27">
        <f t="shared" si="165"/>
        <v>5</v>
      </c>
      <c r="B140" s="336" t="s">
        <v>287</v>
      </c>
      <c r="C140" s="27" t="s">
        <v>288</v>
      </c>
      <c r="D140" s="27"/>
      <c r="E140" s="8" t="s">
        <v>289</v>
      </c>
      <c r="F140" s="27" t="s">
        <v>53</v>
      </c>
      <c r="G140" s="445">
        <f t="shared" si="104"/>
        <v>630</v>
      </c>
      <c r="H140" s="445">
        <v>600</v>
      </c>
      <c r="I140" s="445">
        <v>30</v>
      </c>
      <c r="J140" s="451">
        <v>0</v>
      </c>
      <c r="K140" s="483">
        <f>+L140+M140</f>
        <v>50</v>
      </c>
      <c r="L140" s="451">
        <f>+H140-R140</f>
        <v>50</v>
      </c>
      <c r="M140" s="451"/>
      <c r="N140" s="483">
        <f>+O140+P140</f>
        <v>10</v>
      </c>
      <c r="O140" s="451"/>
      <c r="P140" s="451">
        <f>+S140-I140</f>
        <v>10</v>
      </c>
      <c r="Q140" s="466">
        <f t="shared" si="161"/>
        <v>590</v>
      </c>
      <c r="R140" s="451">
        <v>550</v>
      </c>
      <c r="S140" s="451">
        <v>40</v>
      </c>
      <c r="T140" s="451"/>
      <c r="U140" s="451">
        <f t="shared" si="162"/>
        <v>590</v>
      </c>
      <c r="V140" s="451">
        <f t="shared" si="163"/>
        <v>550</v>
      </c>
      <c r="W140" s="451">
        <f t="shared" si="163"/>
        <v>40</v>
      </c>
      <c r="X140" s="445">
        <f t="shared" si="107"/>
        <v>0</v>
      </c>
      <c r="Y140" s="451"/>
      <c r="Z140" s="451"/>
      <c r="AA140" s="451">
        <f>+AB140+AC140</f>
        <v>590</v>
      </c>
      <c r="AB140" s="483">
        <v>550</v>
      </c>
      <c r="AC140" s="483">
        <v>40</v>
      </c>
      <c r="AD140" s="451"/>
      <c r="AE140" s="483"/>
      <c r="AF140" s="483"/>
      <c r="AG140" s="451"/>
      <c r="AH140" s="483"/>
      <c r="AI140" s="483"/>
      <c r="AJ140" s="451"/>
      <c r="AK140" s="451"/>
      <c r="AL140" s="15"/>
    </row>
    <row r="141" spans="1:41" ht="75">
      <c r="A141" s="27">
        <f t="shared" si="165"/>
        <v>6</v>
      </c>
      <c r="B141" s="336" t="s">
        <v>290</v>
      </c>
      <c r="C141" s="27" t="s">
        <v>291</v>
      </c>
      <c r="D141" s="27"/>
      <c r="E141" s="8" t="s">
        <v>281</v>
      </c>
      <c r="F141" s="27" t="s">
        <v>53</v>
      </c>
      <c r="G141" s="445">
        <f t="shared" si="104"/>
        <v>420</v>
      </c>
      <c r="H141" s="445">
        <v>400</v>
      </c>
      <c r="I141" s="445">
        <v>20</v>
      </c>
      <c r="J141" s="451">
        <v>0</v>
      </c>
      <c r="K141" s="483">
        <f t="shared" si="160"/>
        <v>0</v>
      </c>
      <c r="L141" s="451"/>
      <c r="M141" s="451"/>
      <c r="N141" s="483"/>
      <c r="O141" s="451"/>
      <c r="P141" s="451"/>
      <c r="Q141" s="466">
        <f t="shared" si="161"/>
        <v>420</v>
      </c>
      <c r="R141" s="451">
        <v>400</v>
      </c>
      <c r="S141" s="451">
        <v>20</v>
      </c>
      <c r="T141" s="451"/>
      <c r="U141" s="451">
        <f t="shared" si="162"/>
        <v>420</v>
      </c>
      <c r="V141" s="451">
        <f t="shared" si="163"/>
        <v>400</v>
      </c>
      <c r="W141" s="451">
        <f t="shared" si="163"/>
        <v>20</v>
      </c>
      <c r="X141" s="445">
        <f t="shared" si="107"/>
        <v>0</v>
      </c>
      <c r="Y141" s="451"/>
      <c r="Z141" s="451"/>
      <c r="AA141" s="451"/>
      <c r="AB141" s="483"/>
      <c r="AC141" s="483"/>
      <c r="AD141" s="451">
        <f>+AE141+AF141</f>
        <v>420</v>
      </c>
      <c r="AE141" s="483">
        <v>400</v>
      </c>
      <c r="AF141" s="483">
        <v>20</v>
      </c>
      <c r="AG141" s="451"/>
      <c r="AH141" s="483"/>
      <c r="AI141" s="483"/>
      <c r="AJ141" s="451"/>
      <c r="AK141" s="451"/>
      <c r="AL141" s="15"/>
    </row>
    <row r="142" spans="1:41" ht="75">
      <c r="A142" s="27">
        <f t="shared" si="165"/>
        <v>7</v>
      </c>
      <c r="B142" s="336" t="s">
        <v>292</v>
      </c>
      <c r="C142" s="27" t="s">
        <v>275</v>
      </c>
      <c r="D142" s="27"/>
      <c r="E142" s="8" t="s">
        <v>104</v>
      </c>
      <c r="F142" s="27" t="s">
        <v>53</v>
      </c>
      <c r="G142" s="445">
        <f t="shared" si="104"/>
        <v>735</v>
      </c>
      <c r="H142" s="445">
        <v>700</v>
      </c>
      <c r="I142" s="445">
        <v>35</v>
      </c>
      <c r="J142" s="451">
        <v>0</v>
      </c>
      <c r="K142" s="483">
        <f t="shared" si="160"/>
        <v>0</v>
      </c>
      <c r="L142" s="451"/>
      <c r="M142" s="451"/>
      <c r="N142" s="483"/>
      <c r="O142" s="451"/>
      <c r="P142" s="451"/>
      <c r="Q142" s="466">
        <f t="shared" si="161"/>
        <v>735</v>
      </c>
      <c r="R142" s="451">
        <v>700</v>
      </c>
      <c r="S142" s="451">
        <v>35</v>
      </c>
      <c r="T142" s="451"/>
      <c r="U142" s="451">
        <f t="shared" si="162"/>
        <v>735</v>
      </c>
      <c r="V142" s="451">
        <f t="shared" si="163"/>
        <v>700</v>
      </c>
      <c r="W142" s="451">
        <f t="shared" si="163"/>
        <v>35</v>
      </c>
      <c r="X142" s="445">
        <f t="shared" si="107"/>
        <v>0</v>
      </c>
      <c r="Y142" s="451"/>
      <c r="Z142" s="451"/>
      <c r="AA142" s="451">
        <f>+AB142+AC142</f>
        <v>735</v>
      </c>
      <c r="AB142" s="483">
        <v>700</v>
      </c>
      <c r="AC142" s="483">
        <v>35</v>
      </c>
      <c r="AD142" s="451"/>
      <c r="AE142" s="483"/>
      <c r="AF142" s="483"/>
      <c r="AG142" s="451"/>
      <c r="AH142" s="483"/>
      <c r="AI142" s="483"/>
      <c r="AJ142" s="451"/>
      <c r="AK142" s="451"/>
      <c r="AL142" s="15"/>
    </row>
    <row r="143" spans="1:41" ht="75">
      <c r="A143" s="27">
        <f t="shared" si="165"/>
        <v>8</v>
      </c>
      <c r="B143" s="336" t="s">
        <v>293</v>
      </c>
      <c r="C143" s="27" t="s">
        <v>288</v>
      </c>
      <c r="D143" s="27"/>
      <c r="E143" s="8" t="s">
        <v>278</v>
      </c>
      <c r="F143" s="27" t="s">
        <v>53</v>
      </c>
      <c r="G143" s="445">
        <f t="shared" si="104"/>
        <v>1260</v>
      </c>
      <c r="H143" s="445">
        <v>1200</v>
      </c>
      <c r="I143" s="445">
        <v>60</v>
      </c>
      <c r="J143" s="451">
        <v>0</v>
      </c>
      <c r="K143" s="483">
        <f>+L143+M143</f>
        <v>615.12</v>
      </c>
      <c r="L143" s="451">
        <f>+H143-R143</f>
        <v>575.62</v>
      </c>
      <c r="M143" s="451">
        <f>+I143-S143</f>
        <v>39.5</v>
      </c>
      <c r="N143" s="483"/>
      <c r="O143" s="451"/>
      <c r="P143" s="451"/>
      <c r="Q143" s="466">
        <f t="shared" si="161"/>
        <v>644.88</v>
      </c>
      <c r="R143" s="451">
        <v>624.38</v>
      </c>
      <c r="S143" s="451">
        <v>20.5</v>
      </c>
      <c r="T143" s="451"/>
      <c r="U143" s="451">
        <f t="shared" si="162"/>
        <v>644.88</v>
      </c>
      <c r="V143" s="451">
        <f t="shared" si="163"/>
        <v>624.38</v>
      </c>
      <c r="W143" s="451">
        <f t="shared" si="163"/>
        <v>20.5</v>
      </c>
      <c r="X143" s="445">
        <f t="shared" si="107"/>
        <v>0</v>
      </c>
      <c r="Y143" s="451"/>
      <c r="Z143" s="451"/>
      <c r="AA143" s="451">
        <f>+AB143+AC143</f>
        <v>644.88</v>
      </c>
      <c r="AB143" s="483">
        <v>624.38</v>
      </c>
      <c r="AC143" s="483">
        <v>20.5</v>
      </c>
      <c r="AD143" s="451"/>
      <c r="AE143" s="483"/>
      <c r="AF143" s="483"/>
      <c r="AG143" s="451"/>
      <c r="AH143" s="483"/>
      <c r="AI143" s="483"/>
      <c r="AJ143" s="451"/>
      <c r="AK143" s="451"/>
      <c r="AL143" s="15"/>
    </row>
    <row r="144" spans="1:41" ht="75">
      <c r="A144" s="27">
        <f t="shared" si="165"/>
        <v>9</v>
      </c>
      <c r="B144" s="336" t="s">
        <v>295</v>
      </c>
      <c r="C144" s="27" t="s">
        <v>275</v>
      </c>
      <c r="D144" s="27"/>
      <c r="E144" s="8" t="s">
        <v>104</v>
      </c>
      <c r="F144" s="27" t="s">
        <v>54</v>
      </c>
      <c r="G144" s="445">
        <f t="shared" si="104"/>
        <v>735</v>
      </c>
      <c r="H144" s="445">
        <v>700</v>
      </c>
      <c r="I144" s="445">
        <v>35</v>
      </c>
      <c r="J144" s="451">
        <v>0</v>
      </c>
      <c r="K144" s="483"/>
      <c r="L144" s="451"/>
      <c r="M144" s="451"/>
      <c r="N144" s="483">
        <f>+O144+P144</f>
        <v>226.5</v>
      </c>
      <c r="O144" s="451">
        <f>+R144-H144</f>
        <v>200</v>
      </c>
      <c r="P144" s="451">
        <f>+S144-I144</f>
        <v>26.5</v>
      </c>
      <c r="Q144" s="466">
        <f t="shared" si="161"/>
        <v>961.5</v>
      </c>
      <c r="R144" s="451">
        <v>900</v>
      </c>
      <c r="S144" s="451">
        <v>61.5</v>
      </c>
      <c r="T144" s="451"/>
      <c r="U144" s="451">
        <f t="shared" si="162"/>
        <v>961.5</v>
      </c>
      <c r="V144" s="451">
        <f t="shared" si="163"/>
        <v>900</v>
      </c>
      <c r="W144" s="451">
        <f t="shared" si="163"/>
        <v>61.5</v>
      </c>
      <c r="X144" s="445">
        <f t="shared" si="107"/>
        <v>0</v>
      </c>
      <c r="Y144" s="451"/>
      <c r="Z144" s="451"/>
      <c r="AA144" s="451"/>
      <c r="AB144" s="483"/>
      <c r="AC144" s="483"/>
      <c r="AD144" s="451">
        <f>+AE144+AF144</f>
        <v>961.5</v>
      </c>
      <c r="AE144" s="483">
        <v>900</v>
      </c>
      <c r="AF144" s="483">
        <v>61.5</v>
      </c>
      <c r="AG144" s="451"/>
      <c r="AH144" s="483"/>
      <c r="AI144" s="483"/>
      <c r="AJ144" s="451"/>
      <c r="AK144" s="451"/>
      <c r="AL144" s="15"/>
    </row>
    <row r="145" spans="1:41" ht="75">
      <c r="A145" s="27">
        <f t="shared" si="165"/>
        <v>10</v>
      </c>
      <c r="B145" s="336" t="s">
        <v>297</v>
      </c>
      <c r="C145" s="27" t="s">
        <v>298</v>
      </c>
      <c r="D145" s="27"/>
      <c r="E145" s="8" t="s">
        <v>128</v>
      </c>
      <c r="F145" s="27" t="s">
        <v>54</v>
      </c>
      <c r="G145" s="445">
        <f t="shared" si="104"/>
        <v>1050</v>
      </c>
      <c r="H145" s="445">
        <v>1000</v>
      </c>
      <c r="I145" s="445">
        <v>50</v>
      </c>
      <c r="J145" s="451">
        <v>0</v>
      </c>
      <c r="K145" s="483">
        <f>+L145+M145</f>
        <v>368.4</v>
      </c>
      <c r="L145" s="451">
        <f>+H145-R145</f>
        <v>353.4</v>
      </c>
      <c r="M145" s="451">
        <f>+I145-S145</f>
        <v>15</v>
      </c>
      <c r="N145" s="483"/>
      <c r="O145" s="451"/>
      <c r="P145" s="451"/>
      <c r="Q145" s="466">
        <f t="shared" si="161"/>
        <v>681.6</v>
      </c>
      <c r="R145" s="451">
        <v>646.6</v>
      </c>
      <c r="S145" s="451">
        <v>35</v>
      </c>
      <c r="T145" s="451"/>
      <c r="U145" s="451">
        <f t="shared" si="162"/>
        <v>681.6</v>
      </c>
      <c r="V145" s="451">
        <f t="shared" si="163"/>
        <v>646.6</v>
      </c>
      <c r="W145" s="451">
        <f t="shared" si="163"/>
        <v>35</v>
      </c>
      <c r="X145" s="445">
        <f t="shared" si="107"/>
        <v>0</v>
      </c>
      <c r="Y145" s="451"/>
      <c r="Z145" s="451"/>
      <c r="AA145" s="451"/>
      <c r="AB145" s="483"/>
      <c r="AC145" s="483"/>
      <c r="AD145" s="451">
        <f>+AE145+AF145</f>
        <v>681.6</v>
      </c>
      <c r="AE145" s="483">
        <v>646.6</v>
      </c>
      <c r="AF145" s="483">
        <v>35</v>
      </c>
      <c r="AG145" s="451"/>
      <c r="AH145" s="483"/>
      <c r="AI145" s="483"/>
      <c r="AJ145" s="451"/>
      <c r="AK145" s="451"/>
      <c r="AL145" s="15"/>
    </row>
    <row r="146" spans="1:41" ht="75">
      <c r="A146" s="27">
        <f t="shared" si="165"/>
        <v>11</v>
      </c>
      <c r="B146" s="336" t="s">
        <v>301</v>
      </c>
      <c r="C146" s="27" t="s">
        <v>300</v>
      </c>
      <c r="D146" s="27"/>
      <c r="E146" s="8" t="s">
        <v>281</v>
      </c>
      <c r="F146" s="27" t="s">
        <v>54</v>
      </c>
      <c r="G146" s="445">
        <f t="shared" si="104"/>
        <v>419.43</v>
      </c>
      <c r="H146" s="445">
        <v>399.43</v>
      </c>
      <c r="I146" s="445">
        <v>20</v>
      </c>
      <c r="J146" s="451">
        <v>0</v>
      </c>
      <c r="K146" s="483"/>
      <c r="L146" s="451"/>
      <c r="M146" s="451"/>
      <c r="N146" s="483">
        <f>+O146+P146</f>
        <v>0.56999999999999318</v>
      </c>
      <c r="O146" s="451">
        <f>+R146-H146</f>
        <v>0.56999999999999318</v>
      </c>
      <c r="P146" s="451"/>
      <c r="Q146" s="466">
        <f t="shared" si="161"/>
        <v>420</v>
      </c>
      <c r="R146" s="451">
        <v>400</v>
      </c>
      <c r="S146" s="451">
        <v>20</v>
      </c>
      <c r="T146" s="451"/>
      <c r="U146" s="451">
        <f t="shared" si="162"/>
        <v>420</v>
      </c>
      <c r="V146" s="451">
        <f t="shared" si="163"/>
        <v>400</v>
      </c>
      <c r="W146" s="451">
        <f t="shared" si="163"/>
        <v>20</v>
      </c>
      <c r="X146" s="445">
        <f t="shared" si="107"/>
        <v>0</v>
      </c>
      <c r="Y146" s="451"/>
      <c r="Z146" s="451"/>
      <c r="AA146" s="451"/>
      <c r="AB146" s="483"/>
      <c r="AC146" s="483"/>
      <c r="AD146" s="451">
        <f>+AE146+AF146</f>
        <v>420</v>
      </c>
      <c r="AE146" s="483">
        <v>400</v>
      </c>
      <c r="AF146" s="483">
        <v>20</v>
      </c>
      <c r="AG146" s="451"/>
      <c r="AH146" s="483"/>
      <c r="AI146" s="483"/>
      <c r="AJ146" s="451"/>
      <c r="AK146" s="451"/>
      <c r="AL146" s="15"/>
    </row>
    <row r="147" spans="1:41" ht="75">
      <c r="A147" s="27">
        <f t="shared" si="165"/>
        <v>12</v>
      </c>
      <c r="B147" s="336" t="s">
        <v>294</v>
      </c>
      <c r="C147" s="27" t="s">
        <v>277</v>
      </c>
      <c r="D147" s="27"/>
      <c r="E147" s="8" t="s">
        <v>281</v>
      </c>
      <c r="F147" s="27" t="s">
        <v>55</v>
      </c>
      <c r="G147" s="445">
        <f>H147+I147</f>
        <v>420</v>
      </c>
      <c r="H147" s="445">
        <v>400</v>
      </c>
      <c r="I147" s="445">
        <v>20</v>
      </c>
      <c r="J147" s="451">
        <v>0</v>
      </c>
      <c r="K147" s="483">
        <f t="shared" si="160"/>
        <v>0</v>
      </c>
      <c r="L147" s="451"/>
      <c r="M147" s="451"/>
      <c r="N147" s="483"/>
      <c r="O147" s="451"/>
      <c r="P147" s="451"/>
      <c r="Q147" s="466">
        <f t="shared" si="161"/>
        <v>420</v>
      </c>
      <c r="R147" s="451">
        <v>400</v>
      </c>
      <c r="S147" s="451">
        <v>20</v>
      </c>
      <c r="T147" s="451"/>
      <c r="U147" s="451">
        <f>+V147+W147</f>
        <v>0</v>
      </c>
      <c r="V147" s="451">
        <f t="shared" ref="V147:W149" si="166">+Y147+AB147+AE147</f>
        <v>0</v>
      </c>
      <c r="W147" s="451">
        <f t="shared" si="166"/>
        <v>0</v>
      </c>
      <c r="X147" s="445">
        <f>Y147+Z147</f>
        <v>0</v>
      </c>
      <c r="Y147" s="451"/>
      <c r="Z147" s="451"/>
      <c r="AA147" s="451"/>
      <c r="AB147" s="483"/>
      <c r="AC147" s="483"/>
      <c r="AD147" s="451"/>
      <c r="AE147" s="483"/>
      <c r="AF147" s="483"/>
      <c r="AG147" s="445">
        <f t="shared" ref="AG147" si="167">AH147+AI147</f>
        <v>420</v>
      </c>
      <c r="AH147" s="445">
        <v>400</v>
      </c>
      <c r="AI147" s="445">
        <v>20</v>
      </c>
      <c r="AJ147" s="451"/>
      <c r="AK147" s="451"/>
      <c r="AL147" s="15"/>
    </row>
    <row r="148" spans="1:41" ht="75">
      <c r="A148" s="27">
        <f t="shared" si="165"/>
        <v>13</v>
      </c>
      <c r="B148" s="336" t="s">
        <v>296</v>
      </c>
      <c r="C148" s="27" t="s">
        <v>288</v>
      </c>
      <c r="D148" s="27"/>
      <c r="E148" s="8" t="s">
        <v>128</v>
      </c>
      <c r="F148" s="27" t="s">
        <v>55</v>
      </c>
      <c r="G148" s="445">
        <f>H148+I148</f>
        <v>1050</v>
      </c>
      <c r="H148" s="445">
        <v>1000</v>
      </c>
      <c r="I148" s="445">
        <v>50</v>
      </c>
      <c r="J148" s="451">
        <v>0</v>
      </c>
      <c r="K148" s="483">
        <f t="shared" si="160"/>
        <v>0</v>
      </c>
      <c r="L148" s="451"/>
      <c r="M148" s="451"/>
      <c r="N148" s="483"/>
      <c r="O148" s="451"/>
      <c r="P148" s="451"/>
      <c r="Q148" s="466">
        <f t="shared" si="161"/>
        <v>1050</v>
      </c>
      <c r="R148" s="451">
        <v>1000</v>
      </c>
      <c r="S148" s="451">
        <v>50</v>
      </c>
      <c r="T148" s="451"/>
      <c r="U148" s="451">
        <f>+V148+W148</f>
        <v>0</v>
      </c>
      <c r="V148" s="451">
        <f t="shared" si="166"/>
        <v>0</v>
      </c>
      <c r="W148" s="451">
        <f t="shared" si="166"/>
        <v>0</v>
      </c>
      <c r="X148" s="445">
        <f>Y148+Z148</f>
        <v>0</v>
      </c>
      <c r="Y148" s="451"/>
      <c r="Z148" s="451"/>
      <c r="AA148" s="451"/>
      <c r="AB148" s="483"/>
      <c r="AC148" s="483"/>
      <c r="AD148" s="451"/>
      <c r="AE148" s="483"/>
      <c r="AF148" s="483"/>
      <c r="AG148" s="445">
        <f t="shared" ref="AG148" si="168">AH148+AI148</f>
        <v>1050</v>
      </c>
      <c r="AH148" s="445">
        <v>1000</v>
      </c>
      <c r="AI148" s="445">
        <v>50</v>
      </c>
      <c r="AJ148" s="451"/>
      <c r="AK148" s="451"/>
      <c r="AL148" s="15"/>
    </row>
    <row r="149" spans="1:41" ht="75">
      <c r="A149" s="27">
        <f t="shared" si="165"/>
        <v>14</v>
      </c>
      <c r="B149" s="336" t="s">
        <v>299</v>
      </c>
      <c r="C149" s="27" t="s">
        <v>300</v>
      </c>
      <c r="D149" s="27"/>
      <c r="E149" s="8" t="s">
        <v>128</v>
      </c>
      <c r="F149" s="27" t="s">
        <v>55</v>
      </c>
      <c r="G149" s="445">
        <f>H149+I149</f>
        <v>1050</v>
      </c>
      <c r="H149" s="445">
        <v>1000</v>
      </c>
      <c r="I149" s="445">
        <v>50</v>
      </c>
      <c r="J149" s="451">
        <v>0</v>
      </c>
      <c r="K149" s="483">
        <f t="shared" si="160"/>
        <v>0</v>
      </c>
      <c r="L149" s="451"/>
      <c r="M149" s="451"/>
      <c r="N149" s="483"/>
      <c r="O149" s="451"/>
      <c r="P149" s="451"/>
      <c r="Q149" s="466">
        <f t="shared" si="161"/>
        <v>1050</v>
      </c>
      <c r="R149" s="451">
        <v>1000</v>
      </c>
      <c r="S149" s="451">
        <v>50</v>
      </c>
      <c r="T149" s="451"/>
      <c r="U149" s="451">
        <f>+V149+W149</f>
        <v>0</v>
      </c>
      <c r="V149" s="451">
        <f t="shared" si="166"/>
        <v>0</v>
      </c>
      <c r="W149" s="451">
        <f t="shared" si="166"/>
        <v>0</v>
      </c>
      <c r="X149" s="445">
        <f>Y149+Z149</f>
        <v>0</v>
      </c>
      <c r="Y149" s="451"/>
      <c r="Z149" s="451"/>
      <c r="AA149" s="451"/>
      <c r="AB149" s="483"/>
      <c r="AC149" s="483"/>
      <c r="AD149" s="451"/>
      <c r="AE149" s="483"/>
      <c r="AF149" s="483"/>
      <c r="AG149" s="445">
        <f t="shared" ref="AG149" si="169">AH149+AI149</f>
        <v>1050</v>
      </c>
      <c r="AH149" s="445">
        <v>1000</v>
      </c>
      <c r="AI149" s="445">
        <v>50</v>
      </c>
      <c r="AJ149" s="451"/>
      <c r="AK149" s="451"/>
      <c r="AL149" s="15"/>
    </row>
    <row r="150" spans="1:41" ht="45">
      <c r="A150" s="27">
        <f t="shared" si="165"/>
        <v>15</v>
      </c>
      <c r="B150" s="336" t="s">
        <v>1135</v>
      </c>
      <c r="C150" s="27" t="s">
        <v>288</v>
      </c>
      <c r="D150" s="27"/>
      <c r="E150" s="8"/>
      <c r="F150" s="27" t="s">
        <v>55</v>
      </c>
      <c r="G150" s="445"/>
      <c r="H150" s="445"/>
      <c r="I150" s="445"/>
      <c r="J150" s="451"/>
      <c r="K150" s="483"/>
      <c r="L150" s="451"/>
      <c r="M150" s="451"/>
      <c r="N150" s="466">
        <f t="shared" ref="N150" si="170">+O150+P150</f>
        <v>841.45</v>
      </c>
      <c r="O150" s="451">
        <v>828.45</v>
      </c>
      <c r="P150" s="451">
        <v>13</v>
      </c>
      <c r="Q150" s="466">
        <f t="shared" si="161"/>
        <v>841.45</v>
      </c>
      <c r="R150" s="451">
        <v>828.45</v>
      </c>
      <c r="S150" s="451">
        <v>13</v>
      </c>
      <c r="T150" s="533" t="s">
        <v>1166</v>
      </c>
      <c r="U150" s="451"/>
      <c r="V150" s="451"/>
      <c r="W150" s="451"/>
      <c r="X150" s="445"/>
      <c r="Y150" s="451"/>
      <c r="Z150" s="451"/>
      <c r="AA150" s="451"/>
      <c r="AB150" s="483"/>
      <c r="AC150" s="483"/>
      <c r="AD150" s="451"/>
      <c r="AE150" s="483"/>
      <c r="AF150" s="483"/>
      <c r="AG150" s="451">
        <f>+AH150+AI150</f>
        <v>841.45</v>
      </c>
      <c r="AH150" s="483">
        <v>828.45</v>
      </c>
      <c r="AI150" s="483">
        <v>13</v>
      </c>
      <c r="AJ150" s="451"/>
      <c r="AK150" s="451"/>
      <c r="AL150" s="15"/>
    </row>
    <row r="151" spans="1:41" s="14" customFormat="1" ht="51.75" customHeight="1">
      <c r="A151" s="4" t="s">
        <v>996</v>
      </c>
      <c r="B151" s="507" t="s">
        <v>303</v>
      </c>
      <c r="C151" s="418"/>
      <c r="D151" s="418"/>
      <c r="E151" s="417">
        <v>0</v>
      </c>
      <c r="F151" s="417"/>
      <c r="G151" s="446">
        <f>SUM(G152:G161)</f>
        <v>11092.08</v>
      </c>
      <c r="H151" s="446">
        <f t="shared" ref="H151:T151" si="171">SUM(H152:H161)</f>
        <v>10563.98</v>
      </c>
      <c r="I151" s="446">
        <f t="shared" si="171"/>
        <v>528.1</v>
      </c>
      <c r="J151" s="446">
        <f t="shared" si="171"/>
        <v>0</v>
      </c>
      <c r="K151" s="446">
        <f t="shared" si="171"/>
        <v>683.35670000000016</v>
      </c>
      <c r="L151" s="446">
        <f t="shared" si="171"/>
        <v>669.74670000000015</v>
      </c>
      <c r="M151" s="446">
        <f t="shared" si="171"/>
        <v>13.61</v>
      </c>
      <c r="N151" s="446">
        <f t="shared" si="171"/>
        <v>683.35670000000005</v>
      </c>
      <c r="O151" s="446">
        <f t="shared" si="171"/>
        <v>669.74670000000003</v>
      </c>
      <c r="P151" s="446">
        <f t="shared" si="171"/>
        <v>13.610000000000007</v>
      </c>
      <c r="Q151" s="446">
        <f t="shared" si="171"/>
        <v>11092.08</v>
      </c>
      <c r="R151" s="446">
        <f t="shared" si="171"/>
        <v>10563.98</v>
      </c>
      <c r="S151" s="446">
        <f t="shared" si="171"/>
        <v>528.1</v>
      </c>
      <c r="T151" s="446">
        <f t="shared" si="171"/>
        <v>0</v>
      </c>
      <c r="U151" s="446">
        <f t="shared" ref="U151:AK151" si="172">SUM(U152:U160)</f>
        <v>7387.6432999999997</v>
      </c>
      <c r="V151" s="446">
        <f t="shared" si="172"/>
        <v>7005.2533000000003</v>
      </c>
      <c r="W151" s="446">
        <f t="shared" si="172"/>
        <v>382.39</v>
      </c>
      <c r="X151" s="446">
        <f t="shared" si="172"/>
        <v>1446.05</v>
      </c>
      <c r="Y151" s="446">
        <f t="shared" si="172"/>
        <v>1351</v>
      </c>
      <c r="Z151" s="446">
        <f t="shared" si="172"/>
        <v>95.05</v>
      </c>
      <c r="AA151" s="446">
        <f t="shared" si="172"/>
        <v>3218.5933</v>
      </c>
      <c r="AB151" s="446">
        <f t="shared" si="172"/>
        <v>3080.9533000000001</v>
      </c>
      <c r="AC151" s="446">
        <f t="shared" si="172"/>
        <v>137.63999999999999</v>
      </c>
      <c r="AD151" s="446">
        <f t="shared" si="172"/>
        <v>2723</v>
      </c>
      <c r="AE151" s="446">
        <f t="shared" si="172"/>
        <v>2573.3000000000002</v>
      </c>
      <c r="AF151" s="446">
        <f t="shared" si="172"/>
        <v>149.69999999999999</v>
      </c>
      <c r="AG151" s="446">
        <f>SUM(AG152:AG161)</f>
        <v>3704.4367000000002</v>
      </c>
      <c r="AH151" s="446">
        <f t="shared" ref="AH151:AI151" si="173">SUM(AH152:AH161)</f>
        <v>3558.7267000000002</v>
      </c>
      <c r="AI151" s="446">
        <f t="shared" si="173"/>
        <v>145.70999999999998</v>
      </c>
      <c r="AJ151" s="446"/>
      <c r="AK151" s="446">
        <f t="shared" si="172"/>
        <v>0</v>
      </c>
      <c r="AL151" s="16"/>
      <c r="AM151" s="368">
        <f>+'NĂM 2022'!K57+'NĂM 2023'!N65+'NĂM 2024'!J60+'NĂM 2025'!J54</f>
        <v>11092.08</v>
      </c>
      <c r="AN151" s="368">
        <f>+'NĂM 2022'!L57+'NĂM 2023'!O65+'NĂM 2024'!K60+'NĂM 2025'!K54</f>
        <v>10563.98</v>
      </c>
      <c r="AO151" s="368">
        <f>+'NĂM 2022'!M57+'NĂM 2023'!P65+'NĂM 2024'!L60+'NĂM 2025'!L54</f>
        <v>528.09999999999991</v>
      </c>
    </row>
    <row r="152" spans="1:41" ht="51.75" customHeight="1">
      <c r="A152" s="8">
        <v>1</v>
      </c>
      <c r="B152" s="328" t="s">
        <v>304</v>
      </c>
      <c r="C152" s="8" t="s">
        <v>303</v>
      </c>
      <c r="D152" s="8"/>
      <c r="E152" s="8" t="s">
        <v>305</v>
      </c>
      <c r="F152" s="27" t="s">
        <v>52</v>
      </c>
      <c r="G152" s="445">
        <f t="shared" si="104"/>
        <v>1996.05</v>
      </c>
      <c r="H152" s="445">
        <v>1901</v>
      </c>
      <c r="I152" s="445">
        <v>95.05</v>
      </c>
      <c r="J152" s="451">
        <v>0</v>
      </c>
      <c r="K152" s="483">
        <f>+L152+M152</f>
        <v>17.996700000000146</v>
      </c>
      <c r="L152" s="451">
        <f>+H152-R152</f>
        <v>17.996700000000146</v>
      </c>
      <c r="M152" s="451">
        <f>+I152-S152</f>
        <v>0</v>
      </c>
      <c r="N152" s="483"/>
      <c r="O152" s="451"/>
      <c r="P152" s="451"/>
      <c r="Q152" s="466">
        <v>1978.0532999999998</v>
      </c>
      <c r="R152" s="451">
        <v>1883.0032999999999</v>
      </c>
      <c r="S152" s="451">
        <v>95.05</v>
      </c>
      <c r="T152" s="451"/>
      <c r="U152" s="451">
        <f>+V152+W152</f>
        <v>1978.0532999999998</v>
      </c>
      <c r="V152" s="451">
        <f>+Y152+AB152+AE152</f>
        <v>1883.0032999999999</v>
      </c>
      <c r="W152" s="451">
        <f>+Z152+AC152+AF152</f>
        <v>95.05</v>
      </c>
      <c r="X152" s="445">
        <f t="shared" si="107"/>
        <v>1446.05</v>
      </c>
      <c r="Y152" s="445">
        <v>1351</v>
      </c>
      <c r="Z152" s="445">
        <v>95.05</v>
      </c>
      <c r="AA152" s="445">
        <f>+AB152</f>
        <v>532.00329999999997</v>
      </c>
      <c r="AB152" s="481">
        <f>550-17.9967</f>
        <v>532.00329999999997</v>
      </c>
      <c r="AC152" s="481"/>
      <c r="AD152" s="445"/>
      <c r="AE152" s="481"/>
      <c r="AF152" s="481"/>
      <c r="AG152" s="445"/>
      <c r="AH152" s="481"/>
      <c r="AI152" s="481"/>
      <c r="AJ152" s="445"/>
      <c r="AK152" s="451"/>
      <c r="AL152" s="15"/>
      <c r="AM152" s="506">
        <f>+G151-U151</f>
        <v>3704.4367000000002</v>
      </c>
      <c r="AN152" s="506">
        <f>+H151-V151</f>
        <v>3558.7266999999993</v>
      </c>
      <c r="AO152" s="506">
        <f>+I151-W151</f>
        <v>145.71000000000004</v>
      </c>
    </row>
    <row r="153" spans="1:41" ht="51.75" customHeight="1">
      <c r="A153" s="8">
        <f>+A152+1</f>
        <v>2</v>
      </c>
      <c r="B153" s="328" t="s">
        <v>306</v>
      </c>
      <c r="C153" s="8" t="s">
        <v>307</v>
      </c>
      <c r="D153" s="8"/>
      <c r="E153" s="8" t="s">
        <v>308</v>
      </c>
      <c r="F153" s="8" t="s">
        <v>53</v>
      </c>
      <c r="G153" s="445">
        <f t="shared" si="104"/>
        <v>2191.25</v>
      </c>
      <c r="H153" s="445">
        <v>2087</v>
      </c>
      <c r="I153" s="445">
        <v>104.25</v>
      </c>
      <c r="J153" s="451">
        <v>0</v>
      </c>
      <c r="K153" s="483">
        <f t="shared" ref="K153:K158" si="174">+L153+M153</f>
        <v>304.65999999999997</v>
      </c>
      <c r="L153" s="451">
        <f t="shared" ref="L153:L158" si="175">+H153-R153</f>
        <v>298.04999999999995</v>
      </c>
      <c r="M153" s="451">
        <f t="shared" ref="M153:M158" si="176">+I153-S153</f>
        <v>6.6099999999999994</v>
      </c>
      <c r="N153" s="483"/>
      <c r="O153" s="451"/>
      <c r="P153" s="451"/>
      <c r="Q153" s="466">
        <v>1886.5900000000001</v>
      </c>
      <c r="R153" s="451">
        <v>1788.95</v>
      </c>
      <c r="S153" s="451">
        <v>97.64</v>
      </c>
      <c r="T153" s="451"/>
      <c r="U153" s="451">
        <f t="shared" ref="U153:U160" si="177">+V153+W153</f>
        <v>1886.5900000000001</v>
      </c>
      <c r="V153" s="451">
        <f t="shared" ref="V153:W160" si="178">+Y153+AB153+AE153</f>
        <v>1788.95</v>
      </c>
      <c r="W153" s="451">
        <f t="shared" si="178"/>
        <v>97.64</v>
      </c>
      <c r="X153" s="445">
        <f t="shared" si="107"/>
        <v>0</v>
      </c>
      <c r="Y153" s="451"/>
      <c r="Z153" s="451"/>
      <c r="AA153" s="451">
        <f>+AB153+AC153</f>
        <v>1886.5900000000001</v>
      </c>
      <c r="AB153" s="483">
        <v>1788.95</v>
      </c>
      <c r="AC153" s="483">
        <v>97.64</v>
      </c>
      <c r="AD153" s="451"/>
      <c r="AE153" s="483"/>
      <c r="AF153" s="483"/>
      <c r="AG153" s="451"/>
      <c r="AH153" s="483"/>
      <c r="AI153" s="483"/>
      <c r="AJ153" s="451"/>
      <c r="AK153" s="451"/>
      <c r="AL153" s="15"/>
      <c r="AM153" s="513">
        <f>+AM152-AG151</f>
        <v>0</v>
      </c>
      <c r="AN153" s="513">
        <f t="shared" ref="AN153:AO153" si="179">+AN152-AH151</f>
        <v>0</v>
      </c>
      <c r="AO153" s="513">
        <f t="shared" si="179"/>
        <v>0</v>
      </c>
    </row>
    <row r="154" spans="1:41" ht="51.75" customHeight="1">
      <c r="A154" s="8">
        <f t="shared" ref="A154:A161" si="180">+A153+1</f>
        <v>3</v>
      </c>
      <c r="B154" s="328" t="s">
        <v>309</v>
      </c>
      <c r="C154" s="8" t="s">
        <v>310</v>
      </c>
      <c r="D154" s="8"/>
      <c r="E154" s="8" t="s">
        <v>311</v>
      </c>
      <c r="F154" s="8" t="s">
        <v>53</v>
      </c>
      <c r="G154" s="445">
        <f t="shared" si="104"/>
        <v>420</v>
      </c>
      <c r="H154" s="445">
        <v>400</v>
      </c>
      <c r="I154" s="445">
        <v>20</v>
      </c>
      <c r="J154" s="451">
        <v>0</v>
      </c>
      <c r="K154" s="483">
        <f t="shared" si="174"/>
        <v>20</v>
      </c>
      <c r="L154" s="451">
        <f t="shared" si="175"/>
        <v>20</v>
      </c>
      <c r="M154" s="451">
        <f t="shared" si="176"/>
        <v>0</v>
      </c>
      <c r="N154" s="483"/>
      <c r="O154" s="451"/>
      <c r="P154" s="451"/>
      <c r="Q154" s="466">
        <v>400</v>
      </c>
      <c r="R154" s="451">
        <v>380</v>
      </c>
      <c r="S154" s="451">
        <v>20</v>
      </c>
      <c r="T154" s="451"/>
      <c r="U154" s="451">
        <f t="shared" si="177"/>
        <v>400</v>
      </c>
      <c r="V154" s="451">
        <f t="shared" si="178"/>
        <v>380</v>
      </c>
      <c r="W154" s="451">
        <f t="shared" si="178"/>
        <v>20</v>
      </c>
      <c r="X154" s="445">
        <f t="shared" si="107"/>
        <v>0</v>
      </c>
      <c r="Y154" s="451"/>
      <c r="Z154" s="451"/>
      <c r="AA154" s="451">
        <f t="shared" ref="AA154:AA155" si="181">+AB154+AC154</f>
        <v>400</v>
      </c>
      <c r="AB154" s="483">
        <v>380</v>
      </c>
      <c r="AC154" s="483">
        <v>20</v>
      </c>
      <c r="AD154" s="451"/>
      <c r="AE154" s="483"/>
      <c r="AF154" s="483"/>
      <c r="AG154" s="451"/>
      <c r="AH154" s="483"/>
      <c r="AI154" s="483"/>
      <c r="AJ154" s="451"/>
      <c r="AK154" s="451"/>
      <c r="AL154" s="15"/>
    </row>
    <row r="155" spans="1:41" ht="51.75" customHeight="1">
      <c r="A155" s="8">
        <f t="shared" si="180"/>
        <v>4</v>
      </c>
      <c r="B155" s="328" t="s">
        <v>312</v>
      </c>
      <c r="C155" s="8" t="s">
        <v>313</v>
      </c>
      <c r="D155" s="8"/>
      <c r="E155" s="8" t="s">
        <v>94</v>
      </c>
      <c r="F155" s="8" t="s">
        <v>53</v>
      </c>
      <c r="G155" s="445">
        <f t="shared" si="104"/>
        <v>420</v>
      </c>
      <c r="H155" s="445">
        <v>400</v>
      </c>
      <c r="I155" s="445">
        <v>20</v>
      </c>
      <c r="J155" s="451">
        <v>0</v>
      </c>
      <c r="K155" s="483">
        <f t="shared" si="174"/>
        <v>20</v>
      </c>
      <c r="L155" s="451">
        <f t="shared" si="175"/>
        <v>20</v>
      </c>
      <c r="M155" s="451">
        <f t="shared" si="176"/>
        <v>0</v>
      </c>
      <c r="N155" s="483"/>
      <c r="O155" s="451"/>
      <c r="P155" s="451"/>
      <c r="Q155" s="466">
        <v>400</v>
      </c>
      <c r="R155" s="451">
        <v>380</v>
      </c>
      <c r="S155" s="451">
        <v>20</v>
      </c>
      <c r="T155" s="451"/>
      <c r="U155" s="451">
        <f t="shared" si="177"/>
        <v>400</v>
      </c>
      <c r="V155" s="451">
        <f t="shared" si="178"/>
        <v>380</v>
      </c>
      <c r="W155" s="451">
        <f t="shared" si="178"/>
        <v>20</v>
      </c>
      <c r="X155" s="445">
        <f t="shared" si="107"/>
        <v>0</v>
      </c>
      <c r="Y155" s="451"/>
      <c r="Z155" s="451"/>
      <c r="AA155" s="451">
        <f t="shared" si="181"/>
        <v>400</v>
      </c>
      <c r="AB155" s="483">
        <v>380</v>
      </c>
      <c r="AC155" s="483">
        <v>20</v>
      </c>
      <c r="AD155" s="451"/>
      <c r="AE155" s="483"/>
      <c r="AF155" s="483"/>
      <c r="AG155" s="451"/>
      <c r="AH155" s="483"/>
      <c r="AI155" s="483"/>
      <c r="AJ155" s="451"/>
      <c r="AK155" s="451"/>
      <c r="AL155" s="15"/>
    </row>
    <row r="156" spans="1:41" ht="51.75" customHeight="1">
      <c r="A156" s="8">
        <f t="shared" si="180"/>
        <v>5</v>
      </c>
      <c r="B156" s="328" t="s">
        <v>1130</v>
      </c>
      <c r="C156" s="8" t="s">
        <v>1131</v>
      </c>
      <c r="D156" s="8"/>
      <c r="E156" s="8" t="s">
        <v>315</v>
      </c>
      <c r="F156" s="27" t="s">
        <v>54</v>
      </c>
      <c r="G156" s="445">
        <f t="shared" si="104"/>
        <v>2191.35</v>
      </c>
      <c r="H156" s="445">
        <v>2087</v>
      </c>
      <c r="I156" s="445">
        <v>104.35</v>
      </c>
      <c r="J156" s="451"/>
      <c r="K156" s="483">
        <f t="shared" si="174"/>
        <v>80.700000000000045</v>
      </c>
      <c r="L156" s="451">
        <f t="shared" si="175"/>
        <v>80.700000000000045</v>
      </c>
      <c r="M156" s="451"/>
      <c r="N156" s="483">
        <f>+O156+P156</f>
        <v>12.350000000000009</v>
      </c>
      <c r="O156" s="451"/>
      <c r="P156" s="451">
        <f>+S156-I156</f>
        <v>12.350000000000009</v>
      </c>
      <c r="Q156" s="466">
        <v>2123</v>
      </c>
      <c r="R156" s="451">
        <v>2006.3</v>
      </c>
      <c r="S156" s="451">
        <v>116.7</v>
      </c>
      <c r="T156" s="451"/>
      <c r="U156" s="451">
        <f t="shared" si="177"/>
        <v>2123</v>
      </c>
      <c r="V156" s="451">
        <f t="shared" si="178"/>
        <v>2006.3</v>
      </c>
      <c r="W156" s="451">
        <f t="shared" si="178"/>
        <v>116.7</v>
      </c>
      <c r="X156" s="445">
        <f t="shared" si="107"/>
        <v>0</v>
      </c>
      <c r="Y156" s="451"/>
      <c r="Z156" s="451"/>
      <c r="AA156" s="451"/>
      <c r="AB156" s="483"/>
      <c r="AC156" s="483"/>
      <c r="AD156" s="451">
        <f>+AE156+AF156</f>
        <v>2123</v>
      </c>
      <c r="AE156" s="483">
        <v>2006.3</v>
      </c>
      <c r="AF156" s="483">
        <v>116.7</v>
      </c>
      <c r="AG156" s="451"/>
      <c r="AH156" s="483"/>
      <c r="AI156" s="483"/>
      <c r="AJ156" s="451"/>
      <c r="AK156" s="451"/>
      <c r="AL156" s="15"/>
    </row>
    <row r="157" spans="1:41" ht="51.75" customHeight="1">
      <c r="A157" s="8">
        <f t="shared" si="180"/>
        <v>6</v>
      </c>
      <c r="B157" s="328" t="s">
        <v>316</v>
      </c>
      <c r="C157" s="8" t="s">
        <v>317</v>
      </c>
      <c r="D157" s="8"/>
      <c r="E157" s="8" t="s">
        <v>318</v>
      </c>
      <c r="F157" s="27" t="s">
        <v>54</v>
      </c>
      <c r="G157" s="445">
        <f t="shared" si="104"/>
        <v>420</v>
      </c>
      <c r="H157" s="445">
        <v>400</v>
      </c>
      <c r="I157" s="445">
        <v>20</v>
      </c>
      <c r="J157" s="451">
        <v>0</v>
      </c>
      <c r="K157" s="483">
        <f t="shared" si="174"/>
        <v>120</v>
      </c>
      <c r="L157" s="451">
        <f t="shared" si="175"/>
        <v>116.5</v>
      </c>
      <c r="M157" s="451">
        <f t="shared" si="176"/>
        <v>3.5</v>
      </c>
      <c r="N157" s="483"/>
      <c r="O157" s="451"/>
      <c r="P157" s="451"/>
      <c r="Q157" s="466">
        <v>300</v>
      </c>
      <c r="R157" s="451">
        <v>283.5</v>
      </c>
      <c r="S157" s="451">
        <v>16.5</v>
      </c>
      <c r="T157" s="451"/>
      <c r="U157" s="451">
        <f t="shared" si="177"/>
        <v>300</v>
      </c>
      <c r="V157" s="451">
        <f t="shared" si="178"/>
        <v>283.5</v>
      </c>
      <c r="W157" s="451">
        <f t="shared" si="178"/>
        <v>16.5</v>
      </c>
      <c r="X157" s="445">
        <f t="shared" si="107"/>
        <v>0</v>
      </c>
      <c r="Y157" s="451"/>
      <c r="Z157" s="451"/>
      <c r="AA157" s="451"/>
      <c r="AB157" s="483"/>
      <c r="AC157" s="483"/>
      <c r="AD157" s="451">
        <f t="shared" ref="AD157:AD158" si="182">+AE157+AF157</f>
        <v>300</v>
      </c>
      <c r="AE157" s="483">
        <v>283.5</v>
      </c>
      <c r="AF157" s="483">
        <v>16.5</v>
      </c>
      <c r="AG157" s="451"/>
      <c r="AH157" s="483"/>
      <c r="AI157" s="483"/>
      <c r="AJ157" s="451"/>
      <c r="AK157" s="451"/>
      <c r="AL157" s="15"/>
    </row>
    <row r="158" spans="1:41" ht="51.75" customHeight="1">
      <c r="A158" s="8">
        <f t="shared" si="180"/>
        <v>7</v>
      </c>
      <c r="B158" s="328" t="s">
        <v>319</v>
      </c>
      <c r="C158" s="8" t="s">
        <v>320</v>
      </c>
      <c r="D158" s="8"/>
      <c r="E158" s="8" t="s">
        <v>321</v>
      </c>
      <c r="F158" s="27" t="s">
        <v>54</v>
      </c>
      <c r="G158" s="445">
        <f t="shared" si="104"/>
        <v>420</v>
      </c>
      <c r="H158" s="445">
        <v>400</v>
      </c>
      <c r="I158" s="445">
        <v>20</v>
      </c>
      <c r="J158" s="451">
        <v>0</v>
      </c>
      <c r="K158" s="483">
        <f t="shared" si="174"/>
        <v>120</v>
      </c>
      <c r="L158" s="451">
        <f t="shared" si="175"/>
        <v>116.5</v>
      </c>
      <c r="M158" s="451">
        <f t="shared" si="176"/>
        <v>3.5</v>
      </c>
      <c r="N158" s="483"/>
      <c r="O158" s="451"/>
      <c r="P158" s="451"/>
      <c r="Q158" s="466">
        <v>300</v>
      </c>
      <c r="R158" s="451">
        <v>283.5</v>
      </c>
      <c r="S158" s="451">
        <v>16.5</v>
      </c>
      <c r="T158" s="451"/>
      <c r="U158" s="451">
        <f t="shared" si="177"/>
        <v>300</v>
      </c>
      <c r="V158" s="451">
        <f t="shared" si="178"/>
        <v>283.5</v>
      </c>
      <c r="W158" s="451">
        <f t="shared" si="178"/>
        <v>16.5</v>
      </c>
      <c r="X158" s="445">
        <f t="shared" si="107"/>
        <v>0</v>
      </c>
      <c r="Y158" s="451"/>
      <c r="Z158" s="451"/>
      <c r="AA158" s="451"/>
      <c r="AB158" s="483"/>
      <c r="AC158" s="483"/>
      <c r="AD158" s="451">
        <f t="shared" si="182"/>
        <v>300</v>
      </c>
      <c r="AE158" s="483">
        <v>283.5</v>
      </c>
      <c r="AF158" s="483">
        <v>16.5</v>
      </c>
      <c r="AG158" s="451"/>
      <c r="AH158" s="483"/>
      <c r="AI158" s="483"/>
      <c r="AJ158" s="451"/>
      <c r="AK158" s="451"/>
      <c r="AL158" s="15"/>
    </row>
    <row r="159" spans="1:41" ht="51.75" customHeight="1">
      <c r="A159" s="8">
        <f t="shared" si="180"/>
        <v>8</v>
      </c>
      <c r="B159" s="328" t="s">
        <v>322</v>
      </c>
      <c r="C159" s="8" t="s">
        <v>57</v>
      </c>
      <c r="D159" s="8"/>
      <c r="E159" s="8" t="s">
        <v>323</v>
      </c>
      <c r="F159" s="8" t="s">
        <v>55</v>
      </c>
      <c r="G159" s="445">
        <f t="shared" si="104"/>
        <v>1575</v>
      </c>
      <c r="H159" s="445">
        <v>1500</v>
      </c>
      <c r="I159" s="445">
        <v>75</v>
      </c>
      <c r="J159" s="451">
        <v>0</v>
      </c>
      <c r="K159" s="483">
        <f t="shared" ref="K159:K160" si="183">+G159-Q159</f>
        <v>0</v>
      </c>
      <c r="L159" s="451"/>
      <c r="M159" s="451"/>
      <c r="N159" s="483"/>
      <c r="O159" s="451"/>
      <c r="P159" s="451"/>
      <c r="Q159" s="445">
        <f t="shared" ref="Q159:Q160" si="184">R159+S159</f>
        <v>1575</v>
      </c>
      <c r="R159" s="445">
        <v>1500</v>
      </c>
      <c r="S159" s="445">
        <v>75</v>
      </c>
      <c r="T159" s="451"/>
      <c r="U159" s="451">
        <f t="shared" si="177"/>
        <v>0</v>
      </c>
      <c r="V159" s="451">
        <f t="shared" si="178"/>
        <v>0</v>
      </c>
      <c r="W159" s="451">
        <f t="shared" si="178"/>
        <v>0</v>
      </c>
      <c r="X159" s="445">
        <f t="shared" si="107"/>
        <v>0</v>
      </c>
      <c r="Y159" s="451"/>
      <c r="Z159" s="451"/>
      <c r="AA159" s="451"/>
      <c r="AB159" s="483"/>
      <c r="AC159" s="483"/>
      <c r="AD159" s="451"/>
      <c r="AE159" s="483"/>
      <c r="AF159" s="483"/>
      <c r="AG159" s="445">
        <f t="shared" ref="AG159:AG160" si="185">AH159+AI159</f>
        <v>1575</v>
      </c>
      <c r="AH159" s="445">
        <v>1500</v>
      </c>
      <c r="AI159" s="445">
        <v>75</v>
      </c>
      <c r="AJ159" s="451"/>
      <c r="AK159" s="451"/>
      <c r="AL159" s="15"/>
    </row>
    <row r="160" spans="1:41" ht="51.75" customHeight="1">
      <c r="A160" s="8">
        <f t="shared" si="180"/>
        <v>9</v>
      </c>
      <c r="B160" s="328" t="s">
        <v>324</v>
      </c>
      <c r="C160" s="8" t="s">
        <v>325</v>
      </c>
      <c r="D160" s="8"/>
      <c r="E160" s="8" t="s">
        <v>326</v>
      </c>
      <c r="F160" s="8" t="s">
        <v>55</v>
      </c>
      <c r="G160" s="445">
        <f t="shared" si="104"/>
        <v>1458.43</v>
      </c>
      <c r="H160" s="445">
        <v>1388.98</v>
      </c>
      <c r="I160" s="445">
        <v>69.45</v>
      </c>
      <c r="J160" s="451">
        <v>0</v>
      </c>
      <c r="K160" s="483">
        <f t="shared" si="183"/>
        <v>0</v>
      </c>
      <c r="L160" s="451"/>
      <c r="M160" s="451"/>
      <c r="N160" s="483"/>
      <c r="O160" s="451"/>
      <c r="P160" s="451"/>
      <c r="Q160" s="445">
        <f t="shared" si="184"/>
        <v>1458.43</v>
      </c>
      <c r="R160" s="445">
        <v>1388.98</v>
      </c>
      <c r="S160" s="445">
        <v>69.45</v>
      </c>
      <c r="T160" s="451"/>
      <c r="U160" s="451">
        <f t="shared" si="177"/>
        <v>0</v>
      </c>
      <c r="V160" s="451">
        <f t="shared" si="178"/>
        <v>0</v>
      </c>
      <c r="W160" s="451">
        <f t="shared" si="178"/>
        <v>0</v>
      </c>
      <c r="X160" s="445">
        <f t="shared" si="107"/>
        <v>0</v>
      </c>
      <c r="Y160" s="451"/>
      <c r="Z160" s="451"/>
      <c r="AA160" s="451"/>
      <c r="AB160" s="483"/>
      <c r="AC160" s="483"/>
      <c r="AD160" s="451"/>
      <c r="AE160" s="483"/>
      <c r="AF160" s="483"/>
      <c r="AG160" s="445">
        <f t="shared" si="185"/>
        <v>1458.43</v>
      </c>
      <c r="AH160" s="445">
        <v>1388.98</v>
      </c>
      <c r="AI160" s="445">
        <v>69.45</v>
      </c>
      <c r="AJ160" s="451"/>
      <c r="AK160" s="451"/>
      <c r="AL160" s="15"/>
    </row>
    <row r="161" spans="1:41" ht="51.75" customHeight="1">
      <c r="A161" s="8">
        <f t="shared" si="180"/>
        <v>10</v>
      </c>
      <c r="B161" s="328" t="s">
        <v>1148</v>
      </c>
      <c r="C161" s="8" t="s">
        <v>1171</v>
      </c>
      <c r="D161" s="8"/>
      <c r="E161" s="8"/>
      <c r="F161" s="8" t="s">
        <v>55</v>
      </c>
      <c r="G161" s="445"/>
      <c r="H161" s="445"/>
      <c r="I161" s="445"/>
      <c r="J161" s="451"/>
      <c r="K161" s="483"/>
      <c r="L161" s="451"/>
      <c r="M161" s="451"/>
      <c r="N161" s="451">
        <f>+O161+P161</f>
        <v>671.00670000000002</v>
      </c>
      <c r="O161" s="483">
        <f>620.35+49.3967</f>
        <v>669.74670000000003</v>
      </c>
      <c r="P161" s="514">
        <f>32.66-31.4</f>
        <v>1.259999999999998</v>
      </c>
      <c r="Q161" s="451">
        <f>+R161+S161</f>
        <v>671.00670000000002</v>
      </c>
      <c r="R161" s="483">
        <f>620.35+49.3967</f>
        <v>669.74670000000003</v>
      </c>
      <c r="S161" s="514">
        <f>32.66-31.4</f>
        <v>1.259999999999998</v>
      </c>
      <c r="T161" s="533" t="s">
        <v>1166</v>
      </c>
      <c r="U161" s="451"/>
      <c r="V161" s="451"/>
      <c r="W161" s="451"/>
      <c r="X161" s="445"/>
      <c r="Y161" s="451"/>
      <c r="Z161" s="451"/>
      <c r="AA161" s="451"/>
      <c r="AB161" s="483"/>
      <c r="AC161" s="483"/>
      <c r="AD161" s="451"/>
      <c r="AE161" s="483"/>
      <c r="AF161" s="483"/>
      <c r="AG161" s="451">
        <f>+AH161+AI161</f>
        <v>671.00670000000002</v>
      </c>
      <c r="AH161" s="483">
        <f>620.35+49.3967</f>
        <v>669.74670000000003</v>
      </c>
      <c r="AI161" s="514">
        <f>32.66-31.4</f>
        <v>1.259999999999998</v>
      </c>
      <c r="AJ161" s="451"/>
      <c r="AK161" s="451"/>
      <c r="AL161" s="15"/>
    </row>
    <row r="162" spans="1:41" s="14" customFormat="1" ht="51.75" customHeight="1">
      <c r="A162" s="4" t="s">
        <v>997</v>
      </c>
      <c r="B162" s="507" t="s">
        <v>328</v>
      </c>
      <c r="C162" s="418"/>
      <c r="D162" s="418"/>
      <c r="E162" s="417">
        <v>0</v>
      </c>
      <c r="F162" s="417"/>
      <c r="G162" s="446">
        <f t="shared" ref="G162:T162" si="186">SUM(G163:G179)</f>
        <v>10137.530000000001</v>
      </c>
      <c r="H162" s="446">
        <f t="shared" si="186"/>
        <v>9654.67</v>
      </c>
      <c r="I162" s="446">
        <f t="shared" si="186"/>
        <v>482.85999999999996</v>
      </c>
      <c r="J162" s="446">
        <f t="shared" si="186"/>
        <v>0</v>
      </c>
      <c r="K162" s="446">
        <f t="shared" si="186"/>
        <v>1794.5600000000002</v>
      </c>
      <c r="L162" s="446">
        <f t="shared" si="186"/>
        <v>1720.2</v>
      </c>
      <c r="M162" s="446">
        <f t="shared" si="186"/>
        <v>74.36</v>
      </c>
      <c r="N162" s="446">
        <f t="shared" si="186"/>
        <v>1794.56</v>
      </c>
      <c r="O162" s="446">
        <f t="shared" si="186"/>
        <v>1720.1999999999998</v>
      </c>
      <c r="P162" s="446">
        <f t="shared" si="186"/>
        <v>74.36</v>
      </c>
      <c r="Q162" s="446">
        <f t="shared" si="186"/>
        <v>10137.530000000001</v>
      </c>
      <c r="R162" s="446">
        <f t="shared" si="186"/>
        <v>9654.6699999999983</v>
      </c>
      <c r="S162" s="446">
        <f t="shared" si="186"/>
        <v>482.85999999999996</v>
      </c>
      <c r="T162" s="446">
        <f t="shared" si="186"/>
        <v>0</v>
      </c>
      <c r="U162" s="446">
        <f t="shared" ref="U162:AF162" si="187">SUM(U163:U172)</f>
        <v>6768.62</v>
      </c>
      <c r="V162" s="446">
        <f t="shared" si="187"/>
        <v>6419.03</v>
      </c>
      <c r="W162" s="446">
        <f t="shared" si="187"/>
        <v>349.59</v>
      </c>
      <c r="X162" s="446">
        <f t="shared" si="187"/>
        <v>1824.67</v>
      </c>
      <c r="Y162" s="446">
        <f t="shared" si="187"/>
        <v>1737.67</v>
      </c>
      <c r="Z162" s="446">
        <f t="shared" si="187"/>
        <v>87</v>
      </c>
      <c r="AA162" s="446">
        <f t="shared" si="187"/>
        <v>2455.35</v>
      </c>
      <c r="AB162" s="446">
        <f t="shared" si="187"/>
        <v>2329.56</v>
      </c>
      <c r="AC162" s="446">
        <f t="shared" si="187"/>
        <v>125.78999999999999</v>
      </c>
      <c r="AD162" s="446">
        <f t="shared" si="187"/>
        <v>2488.6</v>
      </c>
      <c r="AE162" s="446">
        <f t="shared" si="187"/>
        <v>2351.8000000000002</v>
      </c>
      <c r="AF162" s="446">
        <f t="shared" si="187"/>
        <v>136.79999999999998</v>
      </c>
      <c r="AG162" s="446">
        <f>SUM(AG163:AG179)</f>
        <v>3368.91</v>
      </c>
      <c r="AH162" s="446">
        <f>SUM(AH163:AH179)</f>
        <v>3235.64</v>
      </c>
      <c r="AI162" s="446">
        <f>SUM(AI163:AI179)</f>
        <v>133.27000000000001</v>
      </c>
      <c r="AJ162" s="446"/>
      <c r="AK162" s="446">
        <f>SUM(AK163:AK172)</f>
        <v>0</v>
      </c>
      <c r="AL162" s="16"/>
      <c r="AM162" s="368">
        <f>+'NĂM 2022'!K59+'NĂM 2023'!N69+'NĂM 2024'!J64+'NĂM 2025'!J57</f>
        <v>10137.529999999999</v>
      </c>
      <c r="AN162" s="368">
        <f>+'NĂM 2022'!L59+'NĂM 2023'!O69+'NĂM 2024'!K64+'NĂM 2025'!K57</f>
        <v>9654.67</v>
      </c>
      <c r="AO162" s="368">
        <f>+'NĂM 2022'!M59+'NĂM 2023'!P69+'NĂM 2024'!L64+'NĂM 2025'!L57</f>
        <v>482.86</v>
      </c>
    </row>
    <row r="163" spans="1:41" ht="75">
      <c r="A163" s="8">
        <v>1</v>
      </c>
      <c r="B163" s="328" t="s">
        <v>329</v>
      </c>
      <c r="C163" s="8" t="s">
        <v>330</v>
      </c>
      <c r="D163" s="8"/>
      <c r="E163" s="8" t="s">
        <v>128</v>
      </c>
      <c r="F163" s="27" t="s">
        <v>52</v>
      </c>
      <c r="G163" s="445">
        <f t="shared" ref="G163:G229" si="188">H163+I163</f>
        <v>1050</v>
      </c>
      <c r="H163" s="445">
        <v>1000</v>
      </c>
      <c r="I163" s="445">
        <v>50</v>
      </c>
      <c r="J163" s="451">
        <v>0</v>
      </c>
      <c r="K163" s="483">
        <f>+G163-Q163</f>
        <v>0</v>
      </c>
      <c r="L163" s="451"/>
      <c r="M163" s="451"/>
      <c r="N163" s="483"/>
      <c r="O163" s="451"/>
      <c r="P163" s="451"/>
      <c r="Q163" s="466">
        <v>1050</v>
      </c>
      <c r="R163" s="451">
        <v>1000</v>
      </c>
      <c r="S163" s="451">
        <v>50</v>
      </c>
      <c r="T163" s="451"/>
      <c r="U163" s="451">
        <f>+V163+W163</f>
        <v>1050</v>
      </c>
      <c r="V163" s="451">
        <f>+Y163+AB163+AE163</f>
        <v>1000</v>
      </c>
      <c r="W163" s="451">
        <f>+Z163+AC163+AF163</f>
        <v>50</v>
      </c>
      <c r="X163" s="445">
        <f t="shared" ref="X163:X229" si="189">Y163+Z163</f>
        <v>1050</v>
      </c>
      <c r="Y163" s="445">
        <v>1000</v>
      </c>
      <c r="Z163" s="445">
        <v>50</v>
      </c>
      <c r="AA163" s="445"/>
      <c r="AB163" s="481"/>
      <c r="AC163" s="481"/>
      <c r="AD163" s="445"/>
      <c r="AE163" s="481"/>
      <c r="AF163" s="481"/>
      <c r="AG163" s="445"/>
      <c r="AH163" s="481"/>
      <c r="AI163" s="481"/>
      <c r="AJ163" s="445"/>
      <c r="AK163" s="451"/>
      <c r="AL163" s="15"/>
      <c r="AM163" s="506">
        <f>+G162-U162</f>
        <v>3368.9100000000008</v>
      </c>
      <c r="AN163" s="506">
        <f>+H162-V162</f>
        <v>3235.6400000000003</v>
      </c>
      <c r="AO163" s="506">
        <f>+I162-W162</f>
        <v>133.26999999999998</v>
      </c>
    </row>
    <row r="164" spans="1:41" ht="75">
      <c r="A164" s="8">
        <f>+A163+1</f>
        <v>2</v>
      </c>
      <c r="B164" s="328" t="s">
        <v>331</v>
      </c>
      <c r="C164" s="135" t="s">
        <v>808</v>
      </c>
      <c r="D164" s="8"/>
      <c r="E164" s="8" t="s">
        <v>128</v>
      </c>
      <c r="F164" s="27" t="s">
        <v>52</v>
      </c>
      <c r="G164" s="445">
        <f t="shared" si="188"/>
        <v>774.67</v>
      </c>
      <c r="H164" s="445">
        <v>737.67</v>
      </c>
      <c r="I164" s="445">
        <v>37</v>
      </c>
      <c r="J164" s="451">
        <v>0</v>
      </c>
      <c r="K164" s="483">
        <f t="shared" ref="K164:K177" si="190">+G164-Q164</f>
        <v>0</v>
      </c>
      <c r="L164" s="451"/>
      <c r="M164" s="451"/>
      <c r="N164" s="483"/>
      <c r="O164" s="451"/>
      <c r="P164" s="451"/>
      <c r="Q164" s="466">
        <v>774.67</v>
      </c>
      <c r="R164" s="451">
        <v>737.67</v>
      </c>
      <c r="S164" s="451">
        <v>37</v>
      </c>
      <c r="T164" s="451"/>
      <c r="U164" s="451">
        <f t="shared" ref="U164:U172" si="191">+V164+W164</f>
        <v>774.67</v>
      </c>
      <c r="V164" s="451">
        <f t="shared" ref="V164:W172" si="192">+Y164+AB164+AE164</f>
        <v>737.67</v>
      </c>
      <c r="W164" s="451">
        <f t="shared" si="192"/>
        <v>37</v>
      </c>
      <c r="X164" s="445">
        <f t="shared" si="189"/>
        <v>774.67</v>
      </c>
      <c r="Y164" s="445">
        <v>737.67</v>
      </c>
      <c r="Z164" s="445">
        <v>37</v>
      </c>
      <c r="AA164" s="445"/>
      <c r="AB164" s="481"/>
      <c r="AC164" s="481"/>
      <c r="AD164" s="445"/>
      <c r="AE164" s="481"/>
      <c r="AF164" s="481"/>
      <c r="AG164" s="445"/>
      <c r="AH164" s="481"/>
      <c r="AI164" s="481"/>
      <c r="AJ164" s="445"/>
      <c r="AK164" s="451"/>
      <c r="AL164" s="15"/>
      <c r="AM164" s="506">
        <f>+AM163-AG162</f>
        <v>0</v>
      </c>
      <c r="AN164" s="506">
        <f t="shared" ref="AN164:AO164" si="193">+AN163-AH162</f>
        <v>0</v>
      </c>
      <c r="AO164" s="506">
        <f t="shared" si="193"/>
        <v>0</v>
      </c>
    </row>
    <row r="165" spans="1:41" ht="75">
      <c r="A165" s="8">
        <f t="shared" ref="A165:A179" si="194">+A164+1</f>
        <v>3</v>
      </c>
      <c r="B165" s="328" t="s">
        <v>333</v>
      </c>
      <c r="C165" s="8" t="s">
        <v>334</v>
      </c>
      <c r="D165" s="8"/>
      <c r="E165" s="8" t="s">
        <v>128</v>
      </c>
      <c r="F165" s="27" t="s">
        <v>53</v>
      </c>
      <c r="G165" s="445">
        <f t="shared" si="188"/>
        <v>876.75</v>
      </c>
      <c r="H165" s="445">
        <v>835</v>
      </c>
      <c r="I165" s="445">
        <v>41.75</v>
      </c>
      <c r="J165" s="451">
        <v>0</v>
      </c>
      <c r="K165" s="483">
        <f>+L165+M165</f>
        <v>190.25</v>
      </c>
      <c r="L165" s="451">
        <f>+H165-R165</f>
        <v>185</v>
      </c>
      <c r="M165" s="451">
        <f>+I165-S165</f>
        <v>5.25</v>
      </c>
      <c r="N165" s="483"/>
      <c r="O165" s="451"/>
      <c r="P165" s="451"/>
      <c r="Q165" s="466">
        <v>686.5</v>
      </c>
      <c r="R165" s="451">
        <v>650</v>
      </c>
      <c r="S165" s="451">
        <v>36.5</v>
      </c>
      <c r="T165" s="451"/>
      <c r="U165" s="451">
        <f t="shared" si="191"/>
        <v>686.5</v>
      </c>
      <c r="V165" s="451">
        <f t="shared" si="192"/>
        <v>650</v>
      </c>
      <c r="W165" s="451">
        <f t="shared" si="192"/>
        <v>36.5</v>
      </c>
      <c r="X165" s="445">
        <f t="shared" si="189"/>
        <v>0</v>
      </c>
      <c r="Y165" s="451"/>
      <c r="Z165" s="451"/>
      <c r="AA165" s="451">
        <f>+AB165+AC165</f>
        <v>686.5</v>
      </c>
      <c r="AB165" s="483">
        <v>650</v>
      </c>
      <c r="AC165" s="483">
        <v>36.5</v>
      </c>
      <c r="AD165" s="451"/>
      <c r="AE165" s="483"/>
      <c r="AF165" s="483"/>
      <c r="AG165" s="451"/>
      <c r="AH165" s="483"/>
      <c r="AI165" s="483"/>
      <c r="AJ165" s="451"/>
      <c r="AK165" s="451"/>
      <c r="AL165" s="15"/>
    </row>
    <row r="166" spans="1:41" ht="75">
      <c r="A166" s="8">
        <f t="shared" si="194"/>
        <v>4</v>
      </c>
      <c r="B166" s="328" t="s">
        <v>335</v>
      </c>
      <c r="C166" s="8" t="s">
        <v>336</v>
      </c>
      <c r="D166" s="8"/>
      <c r="E166" s="8" t="s">
        <v>337</v>
      </c>
      <c r="F166" s="27" t="s">
        <v>53</v>
      </c>
      <c r="G166" s="445">
        <f t="shared" si="188"/>
        <v>315</v>
      </c>
      <c r="H166" s="445">
        <v>300</v>
      </c>
      <c r="I166" s="445">
        <v>15</v>
      </c>
      <c r="J166" s="451">
        <v>0</v>
      </c>
      <c r="K166" s="483"/>
      <c r="L166" s="451"/>
      <c r="M166" s="451"/>
      <c r="N166" s="483">
        <f>+O166+P166</f>
        <v>105.35</v>
      </c>
      <c r="O166" s="451">
        <f>+R166-H166</f>
        <v>99.56</v>
      </c>
      <c r="P166" s="451">
        <f>+S166-I166</f>
        <v>5.7899999999999991</v>
      </c>
      <c r="Q166" s="466">
        <v>420.35</v>
      </c>
      <c r="R166" s="451">
        <v>399.56</v>
      </c>
      <c r="S166" s="451">
        <v>20.79</v>
      </c>
      <c r="T166" s="451"/>
      <c r="U166" s="451">
        <f t="shared" si="191"/>
        <v>420.35</v>
      </c>
      <c r="V166" s="451">
        <f t="shared" si="192"/>
        <v>399.56</v>
      </c>
      <c r="W166" s="451">
        <f t="shared" si="192"/>
        <v>20.79</v>
      </c>
      <c r="X166" s="445">
        <f t="shared" si="189"/>
        <v>0</v>
      </c>
      <c r="Y166" s="451"/>
      <c r="Z166" s="451"/>
      <c r="AA166" s="451">
        <f t="shared" ref="AA166:AA168" si="195">+AB166+AC166</f>
        <v>420.35</v>
      </c>
      <c r="AB166" s="483">
        <v>399.56</v>
      </c>
      <c r="AC166" s="483">
        <v>20.79</v>
      </c>
      <c r="AD166" s="451"/>
      <c r="AE166" s="483"/>
      <c r="AF166" s="483"/>
      <c r="AG166" s="451"/>
      <c r="AH166" s="483"/>
      <c r="AI166" s="483"/>
      <c r="AJ166" s="451"/>
      <c r="AK166" s="451"/>
      <c r="AL166" s="15"/>
    </row>
    <row r="167" spans="1:41" ht="75">
      <c r="A167" s="8">
        <f t="shared" si="194"/>
        <v>5</v>
      </c>
      <c r="B167" s="328" t="s">
        <v>338</v>
      </c>
      <c r="C167" s="8" t="s">
        <v>339</v>
      </c>
      <c r="D167" s="8"/>
      <c r="E167" s="8" t="s">
        <v>104</v>
      </c>
      <c r="F167" s="27" t="s">
        <v>53</v>
      </c>
      <c r="G167" s="445">
        <f t="shared" si="188"/>
        <v>735</v>
      </c>
      <c r="H167" s="445">
        <v>700</v>
      </c>
      <c r="I167" s="445">
        <v>35</v>
      </c>
      <c r="J167" s="451">
        <v>0</v>
      </c>
      <c r="K167" s="483">
        <f>+L167+M167</f>
        <v>71.5</v>
      </c>
      <c r="L167" s="451">
        <f t="shared" ref="L167:M170" si="196">+H167-R167</f>
        <v>70</v>
      </c>
      <c r="M167" s="451">
        <f t="shared" si="196"/>
        <v>1.5</v>
      </c>
      <c r="N167" s="483"/>
      <c r="O167" s="451"/>
      <c r="P167" s="451"/>
      <c r="Q167" s="466">
        <v>663.5</v>
      </c>
      <c r="R167" s="451">
        <v>630</v>
      </c>
      <c r="S167" s="451">
        <v>33.5</v>
      </c>
      <c r="T167" s="451"/>
      <c r="U167" s="451">
        <f t="shared" si="191"/>
        <v>663.5</v>
      </c>
      <c r="V167" s="451">
        <f t="shared" si="192"/>
        <v>630</v>
      </c>
      <c r="W167" s="451">
        <f t="shared" si="192"/>
        <v>33.5</v>
      </c>
      <c r="X167" s="445">
        <f t="shared" si="189"/>
        <v>0</v>
      </c>
      <c r="Y167" s="451"/>
      <c r="Z167" s="451"/>
      <c r="AA167" s="451">
        <f t="shared" si="195"/>
        <v>663.5</v>
      </c>
      <c r="AB167" s="483">
        <v>630</v>
      </c>
      <c r="AC167" s="483">
        <v>33.5</v>
      </c>
      <c r="AD167" s="451"/>
      <c r="AE167" s="483"/>
      <c r="AF167" s="483"/>
      <c r="AG167" s="451"/>
      <c r="AH167" s="483"/>
      <c r="AI167" s="483"/>
      <c r="AJ167" s="451"/>
      <c r="AK167" s="451"/>
      <c r="AL167" s="15"/>
    </row>
    <row r="168" spans="1:41" ht="75">
      <c r="A168" s="8">
        <f t="shared" si="194"/>
        <v>6</v>
      </c>
      <c r="B168" s="328" t="s">
        <v>340</v>
      </c>
      <c r="C168" s="8" t="s">
        <v>330</v>
      </c>
      <c r="D168" s="8"/>
      <c r="E168" s="8" t="s">
        <v>341</v>
      </c>
      <c r="F168" s="27" t="s">
        <v>53</v>
      </c>
      <c r="G168" s="445">
        <f t="shared" si="188"/>
        <v>840</v>
      </c>
      <c r="H168" s="445">
        <v>800</v>
      </c>
      <c r="I168" s="445">
        <v>40</v>
      </c>
      <c r="J168" s="451">
        <v>0</v>
      </c>
      <c r="K168" s="483">
        <f>+L168+M168</f>
        <v>155</v>
      </c>
      <c r="L168" s="451">
        <f t="shared" si="196"/>
        <v>150</v>
      </c>
      <c r="M168" s="451">
        <f t="shared" si="196"/>
        <v>5</v>
      </c>
      <c r="N168" s="483"/>
      <c r="O168" s="451"/>
      <c r="P168" s="451"/>
      <c r="Q168" s="466">
        <v>685</v>
      </c>
      <c r="R168" s="451">
        <v>650</v>
      </c>
      <c r="S168" s="451">
        <v>35</v>
      </c>
      <c r="T168" s="451"/>
      <c r="U168" s="451">
        <f t="shared" si="191"/>
        <v>685</v>
      </c>
      <c r="V168" s="451">
        <f t="shared" si="192"/>
        <v>650</v>
      </c>
      <c r="W168" s="451">
        <f t="shared" si="192"/>
        <v>35</v>
      </c>
      <c r="X168" s="445">
        <f t="shared" si="189"/>
        <v>0</v>
      </c>
      <c r="Y168" s="451"/>
      <c r="Z168" s="451"/>
      <c r="AA168" s="451">
        <f t="shared" si="195"/>
        <v>685</v>
      </c>
      <c r="AB168" s="483">
        <v>650</v>
      </c>
      <c r="AC168" s="483">
        <v>35</v>
      </c>
      <c r="AD168" s="451"/>
      <c r="AE168" s="483"/>
      <c r="AF168" s="483"/>
      <c r="AG168" s="451"/>
      <c r="AH168" s="483"/>
      <c r="AI168" s="483"/>
      <c r="AJ168" s="451"/>
      <c r="AK168" s="451"/>
      <c r="AL168" s="15"/>
    </row>
    <row r="169" spans="1:41" ht="75">
      <c r="A169" s="8">
        <f t="shared" si="194"/>
        <v>7</v>
      </c>
      <c r="B169" s="328" t="s">
        <v>342</v>
      </c>
      <c r="C169" s="8" t="s">
        <v>343</v>
      </c>
      <c r="D169" s="8"/>
      <c r="E169" s="8" t="s">
        <v>159</v>
      </c>
      <c r="F169" s="8" t="s">
        <v>54</v>
      </c>
      <c r="G169" s="445">
        <f t="shared" si="188"/>
        <v>1050</v>
      </c>
      <c r="H169" s="445">
        <v>1000</v>
      </c>
      <c r="I169" s="445">
        <v>50</v>
      </c>
      <c r="J169" s="451">
        <v>0</v>
      </c>
      <c r="K169" s="483">
        <f>+L169+M169</f>
        <v>203.6</v>
      </c>
      <c r="L169" s="451">
        <f t="shared" si="196"/>
        <v>200</v>
      </c>
      <c r="M169" s="451">
        <f t="shared" si="196"/>
        <v>3.6000000000000014</v>
      </c>
      <c r="N169" s="483"/>
      <c r="O169" s="451"/>
      <c r="P169" s="451"/>
      <c r="Q169" s="466">
        <v>846.4</v>
      </c>
      <c r="R169" s="451">
        <v>800</v>
      </c>
      <c r="S169" s="451">
        <v>46.4</v>
      </c>
      <c r="T169" s="451"/>
      <c r="U169" s="451">
        <f t="shared" si="191"/>
        <v>846.4</v>
      </c>
      <c r="V169" s="451">
        <f t="shared" si="192"/>
        <v>800</v>
      </c>
      <c r="W169" s="451">
        <f t="shared" si="192"/>
        <v>46.4</v>
      </c>
      <c r="X169" s="445">
        <f t="shared" si="189"/>
        <v>0</v>
      </c>
      <c r="Y169" s="451"/>
      <c r="Z169" s="451"/>
      <c r="AA169" s="451"/>
      <c r="AB169" s="483"/>
      <c r="AC169" s="483"/>
      <c r="AD169" s="451">
        <f>+AE169+AF169</f>
        <v>846.4</v>
      </c>
      <c r="AE169" s="483">
        <v>800</v>
      </c>
      <c r="AF169" s="483">
        <v>46.4</v>
      </c>
      <c r="AG169" s="451"/>
      <c r="AH169" s="483"/>
      <c r="AI169" s="483"/>
      <c r="AJ169" s="451"/>
      <c r="AK169" s="451"/>
      <c r="AL169" s="15"/>
    </row>
    <row r="170" spans="1:41" ht="75">
      <c r="A170" s="8">
        <f t="shared" si="194"/>
        <v>8</v>
      </c>
      <c r="B170" s="328" t="s">
        <v>346</v>
      </c>
      <c r="C170" s="8" t="s">
        <v>347</v>
      </c>
      <c r="D170" s="8"/>
      <c r="E170" s="8" t="s">
        <v>348</v>
      </c>
      <c r="F170" s="8" t="s">
        <v>54</v>
      </c>
      <c r="G170" s="445">
        <f t="shared" si="188"/>
        <v>1050</v>
      </c>
      <c r="H170" s="445">
        <v>1000</v>
      </c>
      <c r="I170" s="445">
        <v>50</v>
      </c>
      <c r="J170" s="451">
        <v>0</v>
      </c>
      <c r="K170" s="483">
        <f>+L170+M170</f>
        <v>592.80000000000007</v>
      </c>
      <c r="L170" s="451">
        <f t="shared" si="196"/>
        <v>568.20000000000005</v>
      </c>
      <c r="M170" s="451">
        <f t="shared" si="196"/>
        <v>24.6</v>
      </c>
      <c r="N170" s="483"/>
      <c r="O170" s="451"/>
      <c r="P170" s="451"/>
      <c r="Q170" s="466">
        <v>457.2</v>
      </c>
      <c r="R170" s="451">
        <v>431.8</v>
      </c>
      <c r="S170" s="451">
        <v>25.4</v>
      </c>
      <c r="T170" s="451"/>
      <c r="U170" s="451">
        <f t="shared" si="191"/>
        <v>457.2</v>
      </c>
      <c r="V170" s="451">
        <f t="shared" si="192"/>
        <v>431.8</v>
      </c>
      <c r="W170" s="451">
        <f t="shared" si="192"/>
        <v>25.4</v>
      </c>
      <c r="X170" s="445">
        <f t="shared" si="189"/>
        <v>0</v>
      </c>
      <c r="Y170" s="451"/>
      <c r="Z170" s="451"/>
      <c r="AA170" s="451"/>
      <c r="AB170" s="483"/>
      <c r="AC170" s="483"/>
      <c r="AD170" s="451">
        <f>+AE170+AF170</f>
        <v>457.2</v>
      </c>
      <c r="AE170" s="483">
        <v>431.8</v>
      </c>
      <c r="AF170" s="483">
        <v>25.4</v>
      </c>
      <c r="AG170" s="451"/>
      <c r="AH170" s="483"/>
      <c r="AI170" s="483"/>
      <c r="AJ170" s="451"/>
      <c r="AK170" s="451"/>
      <c r="AL170" s="15"/>
    </row>
    <row r="171" spans="1:41" ht="75">
      <c r="A171" s="8">
        <f t="shared" si="194"/>
        <v>9</v>
      </c>
      <c r="B171" s="328" t="s">
        <v>349</v>
      </c>
      <c r="C171" s="8" t="s">
        <v>350</v>
      </c>
      <c r="D171" s="8"/>
      <c r="E171" s="8" t="s">
        <v>348</v>
      </c>
      <c r="F171" s="8" t="s">
        <v>54</v>
      </c>
      <c r="G171" s="445">
        <f t="shared" si="188"/>
        <v>320.25</v>
      </c>
      <c r="H171" s="445">
        <v>305</v>
      </c>
      <c r="I171" s="445">
        <v>15.25</v>
      </c>
      <c r="J171" s="451">
        <v>0</v>
      </c>
      <c r="K171" s="483"/>
      <c r="L171" s="451"/>
      <c r="M171" s="451"/>
      <c r="N171" s="483">
        <f>+O171+P171</f>
        <v>526.15</v>
      </c>
      <c r="O171" s="451">
        <f>+R171-H171</f>
        <v>495</v>
      </c>
      <c r="P171" s="451">
        <f>+S171-I171</f>
        <v>31.15</v>
      </c>
      <c r="Q171" s="466">
        <v>846.4</v>
      </c>
      <c r="R171" s="451">
        <v>800</v>
      </c>
      <c r="S171" s="451">
        <v>46.4</v>
      </c>
      <c r="T171" s="451"/>
      <c r="U171" s="451">
        <f t="shared" si="191"/>
        <v>846.4</v>
      </c>
      <c r="V171" s="451">
        <f t="shared" si="192"/>
        <v>800</v>
      </c>
      <c r="W171" s="451">
        <f t="shared" si="192"/>
        <v>46.4</v>
      </c>
      <c r="X171" s="445">
        <f t="shared" si="189"/>
        <v>0</v>
      </c>
      <c r="Y171" s="451"/>
      <c r="Z171" s="451"/>
      <c r="AA171" s="451"/>
      <c r="AB171" s="483"/>
      <c r="AC171" s="483"/>
      <c r="AD171" s="451">
        <f>+AE171+AF171</f>
        <v>846.4</v>
      </c>
      <c r="AE171" s="483">
        <v>800</v>
      </c>
      <c r="AF171" s="483">
        <v>46.4</v>
      </c>
      <c r="AG171" s="451"/>
      <c r="AH171" s="483"/>
      <c r="AI171" s="483"/>
      <c r="AJ171" s="451"/>
      <c r="AK171" s="451"/>
      <c r="AL171" s="15"/>
    </row>
    <row r="172" spans="1:41" ht="75">
      <c r="A172" s="8">
        <f t="shared" si="194"/>
        <v>10</v>
      </c>
      <c r="B172" s="328" t="s">
        <v>357</v>
      </c>
      <c r="C172" s="8" t="s">
        <v>332</v>
      </c>
      <c r="D172" s="8"/>
      <c r="E172" s="8" t="s">
        <v>94</v>
      </c>
      <c r="F172" s="8" t="s">
        <v>54</v>
      </c>
      <c r="G172" s="445">
        <f t="shared" si="188"/>
        <v>420.01</v>
      </c>
      <c r="H172" s="445">
        <v>400</v>
      </c>
      <c r="I172" s="445">
        <v>20.010000000000002</v>
      </c>
      <c r="J172" s="451"/>
      <c r="K172" s="483">
        <f>+L172+M172</f>
        <v>81.41</v>
      </c>
      <c r="L172" s="451">
        <f>+H172-R172</f>
        <v>80</v>
      </c>
      <c r="M172" s="451">
        <f>+I172-S172</f>
        <v>1.4100000000000001</v>
      </c>
      <c r="N172" s="483"/>
      <c r="O172" s="451"/>
      <c r="P172" s="451"/>
      <c r="Q172" s="466">
        <v>338.6</v>
      </c>
      <c r="R172" s="451">
        <v>320</v>
      </c>
      <c r="S172" s="451">
        <v>18.600000000000001</v>
      </c>
      <c r="T172" s="451"/>
      <c r="U172" s="451">
        <f t="shared" si="191"/>
        <v>338.6</v>
      </c>
      <c r="V172" s="451">
        <f t="shared" si="192"/>
        <v>320</v>
      </c>
      <c r="W172" s="451">
        <f t="shared" si="192"/>
        <v>18.600000000000001</v>
      </c>
      <c r="X172" s="445">
        <f t="shared" si="189"/>
        <v>0</v>
      </c>
      <c r="Y172" s="451"/>
      <c r="Z172" s="451"/>
      <c r="AA172" s="451"/>
      <c r="AB172" s="483"/>
      <c r="AC172" s="483"/>
      <c r="AD172" s="451">
        <f>+AE172+AF172</f>
        <v>338.6</v>
      </c>
      <c r="AE172" s="483">
        <v>320</v>
      </c>
      <c r="AF172" s="483">
        <v>18.600000000000001</v>
      </c>
      <c r="AG172" s="451"/>
      <c r="AH172" s="483"/>
      <c r="AI172" s="483"/>
      <c r="AJ172" s="451"/>
      <c r="AK172" s="451"/>
      <c r="AL172" s="15"/>
    </row>
    <row r="173" spans="1:41" ht="75">
      <c r="A173" s="8">
        <f t="shared" si="194"/>
        <v>11</v>
      </c>
      <c r="B173" s="328" t="s">
        <v>1124</v>
      </c>
      <c r="C173" s="8" t="s">
        <v>352</v>
      </c>
      <c r="D173" s="8"/>
      <c r="E173" s="8" t="s">
        <v>94</v>
      </c>
      <c r="F173" s="8" t="s">
        <v>55</v>
      </c>
      <c r="G173" s="445">
        <f>H173+I173</f>
        <v>420</v>
      </c>
      <c r="H173" s="445">
        <v>400</v>
      </c>
      <c r="I173" s="445">
        <v>20</v>
      </c>
      <c r="J173" s="451">
        <v>0</v>
      </c>
      <c r="K173" s="483">
        <f t="shared" si="190"/>
        <v>0</v>
      </c>
      <c r="L173" s="451"/>
      <c r="M173" s="451"/>
      <c r="N173" s="483"/>
      <c r="O173" s="451"/>
      <c r="P173" s="451"/>
      <c r="Q173" s="451">
        <f>+R173+S173</f>
        <v>420</v>
      </c>
      <c r="R173" s="483">
        <v>400</v>
      </c>
      <c r="S173" s="483">
        <v>20</v>
      </c>
      <c r="T173" s="451"/>
      <c r="U173" s="451">
        <f>+V173+W173</f>
        <v>0</v>
      </c>
      <c r="V173" s="451">
        <f t="shared" ref="V173:W176" si="197">+Y173+AB173+AE173</f>
        <v>0</v>
      </c>
      <c r="W173" s="451">
        <f t="shared" si="197"/>
        <v>0</v>
      </c>
      <c r="X173" s="445">
        <f>Y173+Z173</f>
        <v>0</v>
      </c>
      <c r="Y173" s="451"/>
      <c r="Z173" s="451"/>
      <c r="AA173" s="451"/>
      <c r="AB173" s="483"/>
      <c r="AC173" s="483"/>
      <c r="AD173" s="451"/>
      <c r="AE173" s="483"/>
      <c r="AF173" s="483"/>
      <c r="AG173" s="451">
        <f>+AH173+AI173</f>
        <v>420</v>
      </c>
      <c r="AH173" s="483">
        <v>400</v>
      </c>
      <c r="AI173" s="483">
        <v>20</v>
      </c>
      <c r="AJ173" s="451"/>
      <c r="AK173" s="451"/>
      <c r="AL173" s="15"/>
    </row>
    <row r="174" spans="1:41" ht="75">
      <c r="A174" s="8">
        <f t="shared" si="194"/>
        <v>12</v>
      </c>
      <c r="B174" s="328" t="s">
        <v>353</v>
      </c>
      <c r="C174" s="8" t="s">
        <v>354</v>
      </c>
      <c r="D174" s="8"/>
      <c r="E174" s="8" t="s">
        <v>128</v>
      </c>
      <c r="F174" s="8" t="s">
        <v>55</v>
      </c>
      <c r="G174" s="445">
        <f>H174+I174</f>
        <v>454.65</v>
      </c>
      <c r="H174" s="445">
        <v>433</v>
      </c>
      <c r="I174" s="445">
        <v>21.65</v>
      </c>
      <c r="J174" s="451">
        <v>0</v>
      </c>
      <c r="K174" s="483"/>
      <c r="L174" s="451"/>
      <c r="M174" s="451"/>
      <c r="N174" s="483">
        <f>+O174+P174</f>
        <v>5.0000000000000711E-2</v>
      </c>
      <c r="O174" s="451">
        <f>+R174-H174</f>
        <v>0</v>
      </c>
      <c r="P174" s="451">
        <f>+S174-I174</f>
        <v>5.0000000000000711E-2</v>
      </c>
      <c r="Q174" s="451">
        <f t="shared" ref="Q174:Q176" si="198">+R174+S174</f>
        <v>454.7</v>
      </c>
      <c r="R174" s="483">
        <v>433</v>
      </c>
      <c r="S174" s="483">
        <v>21.7</v>
      </c>
      <c r="T174" s="451"/>
      <c r="U174" s="451">
        <f>+V174+W174</f>
        <v>0</v>
      </c>
      <c r="V174" s="451">
        <f t="shared" si="197"/>
        <v>0</v>
      </c>
      <c r="W174" s="451">
        <f t="shared" si="197"/>
        <v>0</v>
      </c>
      <c r="X174" s="445">
        <f>Y174+Z174</f>
        <v>0</v>
      </c>
      <c r="Y174" s="451"/>
      <c r="Z174" s="451"/>
      <c r="AA174" s="451"/>
      <c r="AB174" s="483"/>
      <c r="AC174" s="483"/>
      <c r="AD174" s="451"/>
      <c r="AE174" s="483"/>
      <c r="AF174" s="483"/>
      <c r="AG174" s="451">
        <f t="shared" ref="AG174:AG176" si="199">+AH174+AI174</f>
        <v>454.7</v>
      </c>
      <c r="AH174" s="483">
        <v>433</v>
      </c>
      <c r="AI174" s="483">
        <v>21.7</v>
      </c>
      <c r="AJ174" s="451"/>
      <c r="AK174" s="451"/>
      <c r="AL174" s="15"/>
    </row>
    <row r="175" spans="1:41" ht="75">
      <c r="A175" s="8">
        <f t="shared" si="194"/>
        <v>13</v>
      </c>
      <c r="B175" s="328" t="s">
        <v>355</v>
      </c>
      <c r="C175" s="8" t="s">
        <v>334</v>
      </c>
      <c r="D175" s="8"/>
      <c r="E175" s="8" t="s">
        <v>128</v>
      </c>
      <c r="F175" s="8" t="s">
        <v>55</v>
      </c>
      <c r="G175" s="445">
        <f>H175+I175</f>
        <v>1050</v>
      </c>
      <c r="H175" s="445">
        <v>1000</v>
      </c>
      <c r="I175" s="445">
        <v>50</v>
      </c>
      <c r="J175" s="451"/>
      <c r="K175" s="483">
        <f>+L175+M175</f>
        <v>500</v>
      </c>
      <c r="L175" s="451">
        <f>+H175-R175</f>
        <v>467</v>
      </c>
      <c r="M175" s="451">
        <f>+I175-S175</f>
        <v>33</v>
      </c>
      <c r="N175" s="483"/>
      <c r="O175" s="451"/>
      <c r="P175" s="451"/>
      <c r="Q175" s="451">
        <f t="shared" si="198"/>
        <v>550</v>
      </c>
      <c r="R175" s="483">
        <v>533</v>
      </c>
      <c r="S175" s="483">
        <v>17</v>
      </c>
      <c r="T175" s="451"/>
      <c r="U175" s="451">
        <f>+V175+W175</f>
        <v>0</v>
      </c>
      <c r="V175" s="451">
        <f t="shared" si="197"/>
        <v>0</v>
      </c>
      <c r="W175" s="451">
        <f t="shared" si="197"/>
        <v>0</v>
      </c>
      <c r="X175" s="445">
        <f>Y175+Z175</f>
        <v>0</v>
      </c>
      <c r="Y175" s="451"/>
      <c r="Z175" s="451"/>
      <c r="AA175" s="451"/>
      <c r="AB175" s="483"/>
      <c r="AC175" s="483"/>
      <c r="AD175" s="451"/>
      <c r="AE175" s="483"/>
      <c r="AF175" s="483"/>
      <c r="AG175" s="451">
        <f t="shared" si="199"/>
        <v>550</v>
      </c>
      <c r="AH175" s="483">
        <v>533</v>
      </c>
      <c r="AI175" s="483">
        <v>17</v>
      </c>
      <c r="AJ175" s="451"/>
      <c r="AK175" s="451"/>
      <c r="AL175" s="15"/>
    </row>
    <row r="176" spans="1:41" ht="75">
      <c r="A176" s="8">
        <f t="shared" si="194"/>
        <v>14</v>
      </c>
      <c r="B176" s="328" t="s">
        <v>356</v>
      </c>
      <c r="C176" s="8" t="s">
        <v>330</v>
      </c>
      <c r="D176" s="8"/>
      <c r="E176" s="8" t="s">
        <v>94</v>
      </c>
      <c r="F176" s="8" t="s">
        <v>55</v>
      </c>
      <c r="G176" s="445">
        <f>H176+I176</f>
        <v>420</v>
      </c>
      <c r="H176" s="445">
        <v>400</v>
      </c>
      <c r="I176" s="445">
        <v>20</v>
      </c>
      <c r="J176" s="451"/>
      <c r="K176" s="483">
        <f t="shared" si="190"/>
        <v>0</v>
      </c>
      <c r="L176" s="451"/>
      <c r="M176" s="451"/>
      <c r="N176" s="483"/>
      <c r="O176" s="451"/>
      <c r="P176" s="451"/>
      <c r="Q176" s="451">
        <f t="shared" si="198"/>
        <v>420</v>
      </c>
      <c r="R176" s="483">
        <v>400</v>
      </c>
      <c r="S176" s="483">
        <v>20</v>
      </c>
      <c r="T176" s="451"/>
      <c r="U176" s="451">
        <f>+V176+W176</f>
        <v>0</v>
      </c>
      <c r="V176" s="451">
        <f t="shared" si="197"/>
        <v>0</v>
      </c>
      <c r="W176" s="451">
        <f t="shared" si="197"/>
        <v>0</v>
      </c>
      <c r="X176" s="445">
        <f>Y176+Z176</f>
        <v>0</v>
      </c>
      <c r="Y176" s="451"/>
      <c r="Z176" s="451"/>
      <c r="AA176" s="451"/>
      <c r="AB176" s="483"/>
      <c r="AC176" s="483"/>
      <c r="AD176" s="451"/>
      <c r="AE176" s="483"/>
      <c r="AF176" s="483"/>
      <c r="AG176" s="451">
        <f t="shared" si="199"/>
        <v>420</v>
      </c>
      <c r="AH176" s="483">
        <v>400</v>
      </c>
      <c r="AI176" s="483">
        <v>20</v>
      </c>
      <c r="AJ176" s="451"/>
      <c r="AK176" s="451"/>
      <c r="AL176" s="15"/>
    </row>
    <row r="177" spans="1:41" ht="30">
      <c r="A177" s="8">
        <f t="shared" si="194"/>
        <v>15</v>
      </c>
      <c r="B177" s="328" t="s">
        <v>1150</v>
      </c>
      <c r="C177" s="8" t="s">
        <v>1151</v>
      </c>
      <c r="D177" s="8"/>
      <c r="E177" s="8"/>
      <c r="F177" s="8" t="s">
        <v>55</v>
      </c>
      <c r="G177" s="445">
        <f>H177+I177</f>
        <v>361.2</v>
      </c>
      <c r="H177" s="445">
        <v>344</v>
      </c>
      <c r="I177" s="445">
        <v>17.2</v>
      </c>
      <c r="J177" s="451"/>
      <c r="K177" s="483">
        <f t="shared" si="190"/>
        <v>0</v>
      </c>
      <c r="L177" s="451"/>
      <c r="M177" s="451"/>
      <c r="N177" s="483"/>
      <c r="O177" s="451"/>
      <c r="P177" s="451"/>
      <c r="Q177" s="451">
        <f>+R177+S177</f>
        <v>361.2</v>
      </c>
      <c r="R177" s="483">
        <v>344</v>
      </c>
      <c r="S177" s="483">
        <v>17.2</v>
      </c>
      <c r="T177" s="451"/>
      <c r="U177" s="451"/>
      <c r="V177" s="451"/>
      <c r="W177" s="451"/>
      <c r="X177" s="445"/>
      <c r="Y177" s="451"/>
      <c r="Z177" s="451"/>
      <c r="AA177" s="451"/>
      <c r="AB177" s="483"/>
      <c r="AC177" s="483"/>
      <c r="AD177" s="451"/>
      <c r="AE177" s="483"/>
      <c r="AF177" s="483"/>
      <c r="AG177" s="451">
        <f>+AH177+AI177</f>
        <v>361.2</v>
      </c>
      <c r="AH177" s="483">
        <v>344</v>
      </c>
      <c r="AI177" s="483">
        <v>17.2</v>
      </c>
      <c r="AJ177" s="451"/>
      <c r="AK177" s="451"/>
      <c r="AL177" s="15"/>
    </row>
    <row r="178" spans="1:41" ht="30">
      <c r="A178" s="8">
        <f t="shared" si="194"/>
        <v>16</v>
      </c>
      <c r="B178" s="328" t="s">
        <v>1152</v>
      </c>
      <c r="C178" s="8" t="s">
        <v>1153</v>
      </c>
      <c r="D178" s="8"/>
      <c r="E178" s="8"/>
      <c r="F178" s="8" t="s">
        <v>55</v>
      </c>
      <c r="G178" s="445"/>
      <c r="H178" s="445"/>
      <c r="I178" s="445"/>
      <c r="J178" s="451"/>
      <c r="K178" s="483"/>
      <c r="L178" s="451"/>
      <c r="M178" s="451"/>
      <c r="N178" s="451">
        <f>+O178+P178</f>
        <v>420</v>
      </c>
      <c r="O178" s="483">
        <v>400</v>
      </c>
      <c r="P178" s="483">
        <v>20</v>
      </c>
      <c r="Q178" s="451">
        <f>+R178+S178</f>
        <v>420</v>
      </c>
      <c r="R178" s="483">
        <v>400</v>
      </c>
      <c r="S178" s="483">
        <v>20</v>
      </c>
      <c r="T178" s="451"/>
      <c r="U178" s="451"/>
      <c r="V178" s="451"/>
      <c r="W178" s="451"/>
      <c r="X178" s="445"/>
      <c r="Y178" s="451"/>
      <c r="Z178" s="451"/>
      <c r="AA178" s="451"/>
      <c r="AB178" s="483"/>
      <c r="AC178" s="483"/>
      <c r="AD178" s="451"/>
      <c r="AE178" s="483"/>
      <c r="AF178" s="483"/>
      <c r="AG178" s="451">
        <f>+AH178+AI178</f>
        <v>420</v>
      </c>
      <c r="AH178" s="483">
        <v>400</v>
      </c>
      <c r="AI178" s="483">
        <v>20</v>
      </c>
      <c r="AJ178" s="451"/>
      <c r="AK178" s="451"/>
      <c r="AL178" s="15"/>
    </row>
    <row r="179" spans="1:41" ht="30">
      <c r="A179" s="8">
        <f t="shared" si="194"/>
        <v>17</v>
      </c>
      <c r="B179" s="328" t="s">
        <v>1149</v>
      </c>
      <c r="C179" s="8" t="s">
        <v>1151</v>
      </c>
      <c r="D179" s="8"/>
      <c r="E179" s="8"/>
      <c r="F179" s="8" t="s">
        <v>55</v>
      </c>
      <c r="G179" s="445"/>
      <c r="H179" s="445"/>
      <c r="I179" s="445"/>
      <c r="J179" s="451"/>
      <c r="K179" s="483"/>
      <c r="L179" s="451"/>
      <c r="M179" s="451"/>
      <c r="N179" s="451">
        <f>+O179+P179</f>
        <v>743.01</v>
      </c>
      <c r="O179" s="483">
        <f>736.1-10.46</f>
        <v>725.64</v>
      </c>
      <c r="P179" s="483">
        <v>17.37</v>
      </c>
      <c r="Q179" s="451">
        <f>+R179+S179</f>
        <v>743.01</v>
      </c>
      <c r="R179" s="483">
        <f>736.1-10.46</f>
        <v>725.64</v>
      </c>
      <c r="S179" s="483">
        <v>17.37</v>
      </c>
      <c r="T179" s="451"/>
      <c r="U179" s="451"/>
      <c r="V179" s="451"/>
      <c r="W179" s="451"/>
      <c r="X179" s="445"/>
      <c r="Y179" s="451"/>
      <c r="Z179" s="451"/>
      <c r="AA179" s="451"/>
      <c r="AB179" s="483"/>
      <c r="AC179" s="483"/>
      <c r="AD179" s="451"/>
      <c r="AE179" s="483"/>
      <c r="AF179" s="483"/>
      <c r="AG179" s="451">
        <f>+AH179+AI179</f>
        <v>743.01</v>
      </c>
      <c r="AH179" s="483">
        <f>736.1-10.46</f>
        <v>725.64</v>
      </c>
      <c r="AI179" s="483">
        <v>17.37</v>
      </c>
      <c r="AJ179" s="451"/>
      <c r="AK179" s="451"/>
      <c r="AL179" s="15"/>
    </row>
    <row r="180" spans="1:41" s="14" customFormat="1" ht="23.25" customHeight="1">
      <c r="A180" s="4" t="s">
        <v>998</v>
      </c>
      <c r="B180" s="507" t="s">
        <v>359</v>
      </c>
      <c r="C180" s="418"/>
      <c r="D180" s="418"/>
      <c r="E180" s="417">
        <v>0</v>
      </c>
      <c r="F180" s="417"/>
      <c r="G180" s="446">
        <f>SUM(G181:G196)</f>
        <v>11098.64</v>
      </c>
      <c r="H180" s="446">
        <f t="shared" ref="H180:T180" si="200">SUM(H181:H196)</f>
        <v>10569.14</v>
      </c>
      <c r="I180" s="446">
        <f t="shared" si="200"/>
        <v>529.5</v>
      </c>
      <c r="J180" s="446">
        <f t="shared" si="200"/>
        <v>0</v>
      </c>
      <c r="K180" s="446">
        <f t="shared" si="200"/>
        <v>1090.73</v>
      </c>
      <c r="L180" s="446">
        <f t="shared" si="200"/>
        <v>1055.3399999999999</v>
      </c>
      <c r="M180" s="446">
        <f t="shared" si="200"/>
        <v>35.390000000000008</v>
      </c>
      <c r="N180" s="446">
        <f t="shared" si="200"/>
        <v>1090.73</v>
      </c>
      <c r="O180" s="446">
        <f t="shared" si="200"/>
        <v>1055.3399999999999</v>
      </c>
      <c r="P180" s="446">
        <f t="shared" si="200"/>
        <v>35.390000000000008</v>
      </c>
      <c r="Q180" s="446">
        <f t="shared" si="200"/>
        <v>11098.64</v>
      </c>
      <c r="R180" s="446">
        <f t="shared" si="200"/>
        <v>10569.14</v>
      </c>
      <c r="S180" s="446">
        <f t="shared" si="200"/>
        <v>529.5</v>
      </c>
      <c r="T180" s="446">
        <f t="shared" si="200"/>
        <v>0</v>
      </c>
      <c r="U180" s="446">
        <f t="shared" ref="U180:AK180" si="201">SUM(U181:U194)</f>
        <v>7409.4199999999992</v>
      </c>
      <c r="V180" s="446">
        <f t="shared" si="201"/>
        <v>7026.91</v>
      </c>
      <c r="W180" s="446">
        <f t="shared" si="201"/>
        <v>382.51</v>
      </c>
      <c r="X180" s="446">
        <f t="shared" si="201"/>
        <v>1997.25</v>
      </c>
      <c r="Y180" s="446">
        <f t="shared" si="201"/>
        <v>1902.25</v>
      </c>
      <c r="Z180" s="446">
        <f t="shared" si="201"/>
        <v>95</v>
      </c>
      <c r="AA180" s="446">
        <f t="shared" si="201"/>
        <v>2687.87</v>
      </c>
      <c r="AB180" s="446">
        <f t="shared" si="201"/>
        <v>2550.16</v>
      </c>
      <c r="AC180" s="446">
        <f t="shared" si="201"/>
        <v>137.70999999999998</v>
      </c>
      <c r="AD180" s="446">
        <f t="shared" si="201"/>
        <v>2724.3</v>
      </c>
      <c r="AE180" s="446">
        <f t="shared" si="201"/>
        <v>2574.5</v>
      </c>
      <c r="AF180" s="446">
        <f t="shared" si="201"/>
        <v>149.80000000000001</v>
      </c>
      <c r="AG180" s="446">
        <f>SUM(AG181:AG196)</f>
        <v>3689.2200000000003</v>
      </c>
      <c r="AH180" s="446">
        <f t="shared" ref="AH180:AI180" si="202">SUM(AH181:AH196)</f>
        <v>3542.2299999999996</v>
      </c>
      <c r="AI180" s="446">
        <f t="shared" si="202"/>
        <v>146.99</v>
      </c>
      <c r="AJ180" s="446"/>
      <c r="AK180" s="446">
        <f t="shared" si="201"/>
        <v>0</v>
      </c>
      <c r="AL180" s="16"/>
      <c r="AM180" s="368">
        <f>+'NĂM 2022'!K62+'NĂM 2023'!N74+'NĂM 2024'!J69+'NĂM 2025'!J63</f>
        <v>11098.64</v>
      </c>
      <c r="AN180" s="368">
        <f>+'NĂM 2022'!L62+'NĂM 2023'!O74+'NĂM 2024'!K69+'NĂM 2025'!K63</f>
        <v>10569.14</v>
      </c>
      <c r="AO180" s="368">
        <f>+'NĂM 2022'!M62+'NĂM 2023'!P74+'NĂM 2024'!L69+'NĂM 2025'!L63</f>
        <v>529.5</v>
      </c>
    </row>
    <row r="181" spans="1:41" ht="75">
      <c r="A181" s="8">
        <v>1</v>
      </c>
      <c r="B181" s="328" t="s">
        <v>360</v>
      </c>
      <c r="C181" s="8" t="s">
        <v>361</v>
      </c>
      <c r="D181" s="8"/>
      <c r="E181" s="8" t="s">
        <v>326</v>
      </c>
      <c r="F181" s="27" t="s">
        <v>52</v>
      </c>
      <c r="G181" s="445">
        <f t="shared" si="188"/>
        <v>737.25</v>
      </c>
      <c r="H181" s="445">
        <v>702.25</v>
      </c>
      <c r="I181" s="445">
        <v>35</v>
      </c>
      <c r="J181" s="451">
        <v>0</v>
      </c>
      <c r="K181" s="483">
        <f>+G181-Q181</f>
        <v>0</v>
      </c>
      <c r="L181" s="451"/>
      <c r="M181" s="451"/>
      <c r="N181" s="483"/>
      <c r="O181" s="451"/>
      <c r="P181" s="451"/>
      <c r="Q181" s="466">
        <v>737.25</v>
      </c>
      <c r="R181" s="451">
        <v>702.25</v>
      </c>
      <c r="S181" s="451">
        <v>35</v>
      </c>
      <c r="T181" s="451"/>
      <c r="U181" s="451">
        <f>+V181+W181</f>
        <v>737.25</v>
      </c>
      <c r="V181" s="451">
        <f>+Y181+AB181+AE181</f>
        <v>702.25</v>
      </c>
      <c r="W181" s="451">
        <f>+Z181+AC181+AF181</f>
        <v>35</v>
      </c>
      <c r="X181" s="445">
        <f t="shared" si="189"/>
        <v>737.25</v>
      </c>
      <c r="Y181" s="445">
        <v>702.25</v>
      </c>
      <c r="Z181" s="445">
        <v>35</v>
      </c>
      <c r="AA181" s="445"/>
      <c r="AB181" s="481"/>
      <c r="AC181" s="481"/>
      <c r="AD181" s="445"/>
      <c r="AE181" s="481"/>
      <c r="AF181" s="481"/>
      <c r="AG181" s="445"/>
      <c r="AH181" s="481"/>
      <c r="AI181" s="481"/>
      <c r="AJ181" s="445"/>
      <c r="AK181" s="451"/>
      <c r="AL181" s="15"/>
      <c r="AM181" s="506">
        <f>+G180-U180</f>
        <v>3689.2200000000003</v>
      </c>
      <c r="AN181" s="506">
        <f>+H180-V180</f>
        <v>3542.2299999999996</v>
      </c>
      <c r="AO181" s="506">
        <f>+I180-W180</f>
        <v>146.99</v>
      </c>
    </row>
    <row r="182" spans="1:41" ht="75">
      <c r="A182" s="8">
        <f>+A181+1</f>
        <v>2</v>
      </c>
      <c r="B182" s="328" t="s">
        <v>362</v>
      </c>
      <c r="C182" s="8" t="s">
        <v>363</v>
      </c>
      <c r="D182" s="8"/>
      <c r="E182" s="8" t="s">
        <v>94</v>
      </c>
      <c r="F182" s="27" t="s">
        <v>52</v>
      </c>
      <c r="G182" s="445">
        <f t="shared" si="188"/>
        <v>420</v>
      </c>
      <c r="H182" s="445">
        <v>400</v>
      </c>
      <c r="I182" s="445">
        <v>20</v>
      </c>
      <c r="J182" s="451">
        <v>0</v>
      </c>
      <c r="K182" s="483">
        <f t="shared" ref="K182:K194" si="203">+G182-Q182</f>
        <v>0</v>
      </c>
      <c r="L182" s="451"/>
      <c r="M182" s="451"/>
      <c r="N182" s="483"/>
      <c r="O182" s="451"/>
      <c r="P182" s="451"/>
      <c r="Q182" s="466">
        <v>420</v>
      </c>
      <c r="R182" s="451">
        <v>400</v>
      </c>
      <c r="S182" s="451">
        <v>20</v>
      </c>
      <c r="T182" s="451"/>
      <c r="U182" s="451">
        <f t="shared" ref="U182:U194" si="204">+V182+W182</f>
        <v>420</v>
      </c>
      <c r="V182" s="451">
        <f t="shared" ref="V182:W194" si="205">+Y182+AB182+AE182</f>
        <v>400</v>
      </c>
      <c r="W182" s="451">
        <f t="shared" si="205"/>
        <v>20</v>
      </c>
      <c r="X182" s="445">
        <f t="shared" si="189"/>
        <v>420</v>
      </c>
      <c r="Y182" s="445">
        <v>400</v>
      </c>
      <c r="Z182" s="445">
        <v>20</v>
      </c>
      <c r="AA182" s="445"/>
      <c r="AB182" s="481"/>
      <c r="AC182" s="481"/>
      <c r="AD182" s="445"/>
      <c r="AE182" s="481"/>
      <c r="AF182" s="481"/>
      <c r="AG182" s="445"/>
      <c r="AH182" s="481"/>
      <c r="AI182" s="481"/>
      <c r="AJ182" s="445"/>
      <c r="AK182" s="451"/>
      <c r="AL182" s="15"/>
      <c r="AM182" s="365">
        <f>+AM181-AG180</f>
        <v>0</v>
      </c>
      <c r="AN182" s="365">
        <f t="shared" ref="AN182:AO182" si="206">+AN181-AH180</f>
        <v>0</v>
      </c>
      <c r="AO182" s="365">
        <f t="shared" si="206"/>
        <v>0</v>
      </c>
    </row>
    <row r="183" spans="1:41" ht="75">
      <c r="A183" s="8">
        <f t="shared" ref="A183:A196" si="207">+A182+1</f>
        <v>3</v>
      </c>
      <c r="B183" s="328" t="s">
        <v>364</v>
      </c>
      <c r="C183" s="8" t="s">
        <v>365</v>
      </c>
      <c r="D183" s="8"/>
      <c r="E183" s="8" t="s">
        <v>94</v>
      </c>
      <c r="F183" s="27" t="s">
        <v>52</v>
      </c>
      <c r="G183" s="445">
        <f t="shared" si="188"/>
        <v>420</v>
      </c>
      <c r="H183" s="445">
        <v>400</v>
      </c>
      <c r="I183" s="445">
        <v>20</v>
      </c>
      <c r="J183" s="451">
        <v>0</v>
      </c>
      <c r="K183" s="483">
        <f t="shared" si="203"/>
        <v>0</v>
      </c>
      <c r="L183" s="451"/>
      <c r="M183" s="451"/>
      <c r="N183" s="483"/>
      <c r="O183" s="451"/>
      <c r="P183" s="451"/>
      <c r="Q183" s="466">
        <v>420</v>
      </c>
      <c r="R183" s="451">
        <v>400</v>
      </c>
      <c r="S183" s="451">
        <v>20</v>
      </c>
      <c r="T183" s="451"/>
      <c r="U183" s="451">
        <f t="shared" si="204"/>
        <v>420</v>
      </c>
      <c r="V183" s="451">
        <f t="shared" si="205"/>
        <v>400</v>
      </c>
      <c r="W183" s="451">
        <f t="shared" si="205"/>
        <v>20</v>
      </c>
      <c r="X183" s="445">
        <f t="shared" si="189"/>
        <v>420</v>
      </c>
      <c r="Y183" s="445">
        <v>400</v>
      </c>
      <c r="Z183" s="445">
        <v>20</v>
      </c>
      <c r="AA183" s="445"/>
      <c r="AB183" s="481"/>
      <c r="AC183" s="481"/>
      <c r="AD183" s="445"/>
      <c r="AE183" s="481"/>
      <c r="AF183" s="481"/>
      <c r="AG183" s="445"/>
      <c r="AH183" s="481"/>
      <c r="AI183" s="481"/>
      <c r="AJ183" s="445"/>
      <c r="AK183" s="451"/>
      <c r="AL183" s="15"/>
    </row>
    <row r="184" spans="1:41" ht="75">
      <c r="A184" s="8">
        <f t="shared" si="207"/>
        <v>4</v>
      </c>
      <c r="B184" s="328" t="s">
        <v>366</v>
      </c>
      <c r="C184" s="8" t="s">
        <v>367</v>
      </c>
      <c r="D184" s="8"/>
      <c r="E184" s="8" t="s">
        <v>94</v>
      </c>
      <c r="F184" s="27" t="s">
        <v>52</v>
      </c>
      <c r="G184" s="445">
        <f t="shared" si="188"/>
        <v>420</v>
      </c>
      <c r="H184" s="445">
        <v>400</v>
      </c>
      <c r="I184" s="445">
        <v>20</v>
      </c>
      <c r="J184" s="451">
        <v>0</v>
      </c>
      <c r="K184" s="483">
        <f t="shared" si="203"/>
        <v>0</v>
      </c>
      <c r="L184" s="451"/>
      <c r="M184" s="451"/>
      <c r="N184" s="483"/>
      <c r="O184" s="451"/>
      <c r="P184" s="451"/>
      <c r="Q184" s="466">
        <v>420</v>
      </c>
      <c r="R184" s="451">
        <v>400</v>
      </c>
      <c r="S184" s="451">
        <v>20</v>
      </c>
      <c r="T184" s="451"/>
      <c r="U184" s="451">
        <f t="shared" si="204"/>
        <v>420</v>
      </c>
      <c r="V184" s="451">
        <f t="shared" si="205"/>
        <v>400</v>
      </c>
      <c r="W184" s="451">
        <f t="shared" si="205"/>
        <v>20</v>
      </c>
      <c r="X184" s="445">
        <f t="shared" si="189"/>
        <v>420</v>
      </c>
      <c r="Y184" s="445">
        <v>400</v>
      </c>
      <c r="Z184" s="445">
        <v>20</v>
      </c>
      <c r="AA184" s="445"/>
      <c r="AB184" s="481"/>
      <c r="AC184" s="481"/>
      <c r="AD184" s="445"/>
      <c r="AE184" s="481"/>
      <c r="AF184" s="481"/>
      <c r="AG184" s="445"/>
      <c r="AH184" s="481"/>
      <c r="AI184" s="481"/>
      <c r="AJ184" s="445"/>
      <c r="AK184" s="451"/>
      <c r="AL184" s="15"/>
    </row>
    <row r="185" spans="1:41" ht="75">
      <c r="A185" s="8">
        <f t="shared" si="207"/>
        <v>5</v>
      </c>
      <c r="B185" s="328" t="s">
        <v>368</v>
      </c>
      <c r="C185" s="8" t="s">
        <v>369</v>
      </c>
      <c r="D185" s="8"/>
      <c r="E185" s="8" t="s">
        <v>251</v>
      </c>
      <c r="F185" s="8" t="s">
        <v>53</v>
      </c>
      <c r="G185" s="445">
        <f t="shared" si="188"/>
        <v>1455</v>
      </c>
      <c r="H185" s="445">
        <v>1386</v>
      </c>
      <c r="I185" s="445">
        <v>69</v>
      </c>
      <c r="J185" s="451"/>
      <c r="K185" s="483">
        <f>+L185+M185</f>
        <v>264.40999999999997</v>
      </c>
      <c r="L185" s="451">
        <f>+H185-R185</f>
        <v>258.27</v>
      </c>
      <c r="M185" s="451">
        <f>+I185-S185</f>
        <v>6.1400000000000006</v>
      </c>
      <c r="N185" s="483"/>
      <c r="O185" s="451"/>
      <c r="P185" s="451"/>
      <c r="Q185" s="466">
        <v>1190.5899999999999</v>
      </c>
      <c r="R185" s="451">
        <v>1127.73</v>
      </c>
      <c r="S185" s="451">
        <v>62.86</v>
      </c>
      <c r="T185" s="451"/>
      <c r="U185" s="451">
        <f t="shared" si="204"/>
        <v>1190.5899999999999</v>
      </c>
      <c r="V185" s="451">
        <f t="shared" si="205"/>
        <v>1127.73</v>
      </c>
      <c r="W185" s="451">
        <f t="shared" si="205"/>
        <v>62.86</v>
      </c>
      <c r="X185" s="445">
        <f t="shared" si="189"/>
        <v>0</v>
      </c>
      <c r="Y185" s="451"/>
      <c r="Z185" s="451"/>
      <c r="AA185" s="451">
        <f>+AB185+AC185</f>
        <v>1190.5899999999999</v>
      </c>
      <c r="AB185" s="483">
        <v>1127.73</v>
      </c>
      <c r="AC185" s="483">
        <v>62.86</v>
      </c>
      <c r="AD185" s="451"/>
      <c r="AE185" s="483"/>
      <c r="AF185" s="483"/>
      <c r="AG185" s="451"/>
      <c r="AH185" s="483"/>
      <c r="AI185" s="483"/>
      <c r="AJ185" s="451"/>
      <c r="AK185" s="451"/>
      <c r="AL185" s="15"/>
    </row>
    <row r="186" spans="1:41" ht="75">
      <c r="A186" s="8">
        <f t="shared" si="207"/>
        <v>6</v>
      </c>
      <c r="B186" s="328" t="s">
        <v>370</v>
      </c>
      <c r="C186" s="8" t="s">
        <v>371</v>
      </c>
      <c r="D186" s="8"/>
      <c r="E186" s="8" t="s">
        <v>372</v>
      </c>
      <c r="F186" s="8" t="s">
        <v>53</v>
      </c>
      <c r="G186" s="445">
        <f t="shared" si="188"/>
        <v>1890</v>
      </c>
      <c r="H186" s="445">
        <v>1800</v>
      </c>
      <c r="I186" s="445">
        <v>90</v>
      </c>
      <c r="J186" s="451"/>
      <c r="K186" s="483">
        <f t="shared" ref="K186:K189" si="208">+L186+M186</f>
        <v>392.71999999999991</v>
      </c>
      <c r="L186" s="451">
        <f t="shared" ref="L186:L189" si="209">+H186-R186</f>
        <v>377.56999999999994</v>
      </c>
      <c r="M186" s="451">
        <f t="shared" ref="M186:M189" si="210">+I186-S186</f>
        <v>15.150000000000006</v>
      </c>
      <c r="N186" s="483"/>
      <c r="O186" s="451"/>
      <c r="P186" s="451"/>
      <c r="Q186" s="466">
        <v>1497.28</v>
      </c>
      <c r="R186" s="451">
        <v>1422.43</v>
      </c>
      <c r="S186" s="451">
        <v>74.849999999999994</v>
      </c>
      <c r="T186" s="451"/>
      <c r="U186" s="451">
        <f t="shared" si="204"/>
        <v>1497.28</v>
      </c>
      <c r="V186" s="451">
        <f t="shared" si="205"/>
        <v>1422.43</v>
      </c>
      <c r="W186" s="451">
        <f t="shared" si="205"/>
        <v>74.849999999999994</v>
      </c>
      <c r="X186" s="445">
        <f t="shared" si="189"/>
        <v>0</v>
      </c>
      <c r="Y186" s="451"/>
      <c r="Z186" s="451"/>
      <c r="AA186" s="451">
        <f>+AB186+AC186</f>
        <v>1497.28</v>
      </c>
      <c r="AB186" s="483">
        <v>1422.43</v>
      </c>
      <c r="AC186" s="483">
        <v>74.849999999999994</v>
      </c>
      <c r="AD186" s="451"/>
      <c r="AE186" s="483"/>
      <c r="AF186" s="483"/>
      <c r="AG186" s="451"/>
      <c r="AH186" s="483"/>
      <c r="AI186" s="483"/>
      <c r="AJ186" s="451"/>
      <c r="AK186" s="451"/>
      <c r="AL186" s="15"/>
    </row>
    <row r="187" spans="1:41" ht="75">
      <c r="A187" s="8">
        <f t="shared" si="207"/>
        <v>7</v>
      </c>
      <c r="B187" s="328" t="s">
        <v>373</v>
      </c>
      <c r="C187" s="8" t="s">
        <v>374</v>
      </c>
      <c r="D187" s="8"/>
      <c r="E187" s="8" t="s">
        <v>326</v>
      </c>
      <c r="F187" s="8" t="s">
        <v>53</v>
      </c>
      <c r="G187" s="445">
        <f t="shared" si="188"/>
        <v>1575</v>
      </c>
      <c r="H187" s="445">
        <v>1500</v>
      </c>
      <c r="I187" s="445">
        <v>75</v>
      </c>
      <c r="J187" s="451"/>
      <c r="K187" s="483">
        <f t="shared" si="208"/>
        <v>70</v>
      </c>
      <c r="L187" s="451">
        <f t="shared" si="209"/>
        <v>70</v>
      </c>
      <c r="M187" s="451"/>
      <c r="N187" s="483">
        <f>+O187+P187</f>
        <v>8.2000000000000028</v>
      </c>
      <c r="O187" s="451"/>
      <c r="P187" s="451">
        <f>+S187-I187</f>
        <v>8.2000000000000028</v>
      </c>
      <c r="Q187" s="466">
        <v>1513.2</v>
      </c>
      <c r="R187" s="451">
        <v>1430</v>
      </c>
      <c r="S187" s="451">
        <v>83.2</v>
      </c>
      <c r="T187" s="451"/>
      <c r="U187" s="451">
        <f t="shared" si="204"/>
        <v>1513.2</v>
      </c>
      <c r="V187" s="451">
        <f t="shared" si="205"/>
        <v>1430</v>
      </c>
      <c r="W187" s="451">
        <f t="shared" si="205"/>
        <v>83.2</v>
      </c>
      <c r="X187" s="445">
        <f t="shared" si="189"/>
        <v>0</v>
      </c>
      <c r="Y187" s="451"/>
      <c r="Z187" s="451"/>
      <c r="AA187" s="451"/>
      <c r="AB187" s="483"/>
      <c r="AC187" s="483"/>
      <c r="AD187" s="451">
        <f>+AE187+AF187</f>
        <v>1513.2</v>
      </c>
      <c r="AE187" s="483">
        <v>1430</v>
      </c>
      <c r="AF187" s="483">
        <v>83.2</v>
      </c>
      <c r="AG187" s="451"/>
      <c r="AH187" s="483"/>
      <c r="AI187" s="483"/>
      <c r="AJ187" s="451"/>
      <c r="AK187" s="451"/>
      <c r="AL187" s="15"/>
    </row>
    <row r="188" spans="1:41" ht="30">
      <c r="A188" s="8">
        <f t="shared" si="207"/>
        <v>8</v>
      </c>
      <c r="B188" s="328" t="s">
        <v>375</v>
      </c>
      <c r="C188" s="8" t="s">
        <v>376</v>
      </c>
      <c r="D188" s="8"/>
      <c r="E188" s="8" t="s">
        <v>377</v>
      </c>
      <c r="F188" s="8" t="s">
        <v>54</v>
      </c>
      <c r="G188" s="445">
        <f t="shared" si="188"/>
        <v>1064</v>
      </c>
      <c r="H188" s="445">
        <v>1014</v>
      </c>
      <c r="I188" s="445">
        <v>50</v>
      </c>
      <c r="J188" s="451"/>
      <c r="K188" s="483">
        <f t="shared" si="208"/>
        <v>39.5</v>
      </c>
      <c r="L188" s="451">
        <f t="shared" si="209"/>
        <v>39.5</v>
      </c>
      <c r="M188" s="451"/>
      <c r="N188" s="483">
        <f>+O188+P188</f>
        <v>6.7000000000000028</v>
      </c>
      <c r="O188" s="451"/>
      <c r="P188" s="451">
        <f>+S188-I188</f>
        <v>6.7000000000000028</v>
      </c>
      <c r="Q188" s="466">
        <v>1031.2</v>
      </c>
      <c r="R188" s="451">
        <v>974.5</v>
      </c>
      <c r="S188" s="451">
        <v>56.7</v>
      </c>
      <c r="T188" s="451"/>
      <c r="U188" s="451">
        <f t="shared" si="204"/>
        <v>1031.2</v>
      </c>
      <c r="V188" s="451">
        <f t="shared" si="205"/>
        <v>974.5</v>
      </c>
      <c r="W188" s="451">
        <f t="shared" si="205"/>
        <v>56.7</v>
      </c>
      <c r="X188" s="445">
        <f t="shared" si="189"/>
        <v>0</v>
      </c>
      <c r="Y188" s="451"/>
      <c r="Z188" s="451"/>
      <c r="AA188" s="451"/>
      <c r="AB188" s="483"/>
      <c r="AC188" s="483"/>
      <c r="AD188" s="451">
        <f t="shared" ref="AD188:AD189" si="211">+AE188+AF188</f>
        <v>1031.2</v>
      </c>
      <c r="AE188" s="483">
        <v>974.5</v>
      </c>
      <c r="AF188" s="483">
        <v>56.7</v>
      </c>
      <c r="AG188" s="451"/>
      <c r="AH188" s="483"/>
      <c r="AI188" s="483"/>
      <c r="AJ188" s="451"/>
      <c r="AK188" s="451"/>
      <c r="AL188" s="15"/>
    </row>
    <row r="189" spans="1:41" ht="30">
      <c r="A189" s="8">
        <f t="shared" si="207"/>
        <v>9</v>
      </c>
      <c r="B189" s="328" t="s">
        <v>378</v>
      </c>
      <c r="C189" s="8" t="s">
        <v>379</v>
      </c>
      <c r="D189" s="8"/>
      <c r="E189" s="8" t="s">
        <v>380</v>
      </c>
      <c r="F189" s="8" t="s">
        <v>54</v>
      </c>
      <c r="G189" s="445">
        <f t="shared" si="188"/>
        <v>504</v>
      </c>
      <c r="H189" s="445">
        <v>480</v>
      </c>
      <c r="I189" s="445">
        <v>24</v>
      </c>
      <c r="J189" s="451">
        <v>0</v>
      </c>
      <c r="K189" s="483">
        <f t="shared" si="208"/>
        <v>324.10000000000002</v>
      </c>
      <c r="L189" s="451">
        <f t="shared" si="209"/>
        <v>310</v>
      </c>
      <c r="M189" s="451">
        <f t="shared" si="210"/>
        <v>14.1</v>
      </c>
      <c r="N189" s="483"/>
      <c r="O189" s="451"/>
      <c r="P189" s="451"/>
      <c r="Q189" s="466">
        <v>179.9</v>
      </c>
      <c r="R189" s="451">
        <v>170</v>
      </c>
      <c r="S189" s="451">
        <v>9.9</v>
      </c>
      <c r="T189" s="451"/>
      <c r="U189" s="451">
        <f t="shared" si="204"/>
        <v>179.9</v>
      </c>
      <c r="V189" s="451">
        <f t="shared" si="205"/>
        <v>170</v>
      </c>
      <c r="W189" s="451">
        <f t="shared" si="205"/>
        <v>9.9</v>
      </c>
      <c r="X189" s="445">
        <f t="shared" si="189"/>
        <v>0</v>
      </c>
      <c r="Y189" s="451"/>
      <c r="Z189" s="451"/>
      <c r="AA189" s="451"/>
      <c r="AB189" s="483"/>
      <c r="AC189" s="483"/>
      <c r="AD189" s="451">
        <f t="shared" si="211"/>
        <v>179.9</v>
      </c>
      <c r="AE189" s="483">
        <v>170</v>
      </c>
      <c r="AF189" s="483">
        <v>9.9</v>
      </c>
      <c r="AG189" s="451"/>
      <c r="AH189" s="483"/>
      <c r="AI189" s="483"/>
      <c r="AJ189" s="451"/>
      <c r="AK189" s="451"/>
      <c r="AL189" s="15"/>
    </row>
    <row r="190" spans="1:41" ht="30">
      <c r="A190" s="8">
        <f t="shared" si="207"/>
        <v>10</v>
      </c>
      <c r="B190" s="327" t="s">
        <v>937</v>
      </c>
      <c r="C190" s="8" t="s">
        <v>381</v>
      </c>
      <c r="D190" s="8"/>
      <c r="E190" s="8" t="s">
        <v>382</v>
      </c>
      <c r="F190" s="8" t="s">
        <v>54</v>
      </c>
      <c r="G190" s="445">
        <f t="shared" si="188"/>
        <v>169.5</v>
      </c>
      <c r="H190" s="445">
        <v>160</v>
      </c>
      <c r="I190" s="445">
        <v>9.5</v>
      </c>
      <c r="J190" s="451">
        <v>0</v>
      </c>
      <c r="K190" s="483">
        <f t="shared" si="203"/>
        <v>0</v>
      </c>
      <c r="L190" s="451"/>
      <c r="M190" s="451"/>
      <c r="N190" s="483"/>
      <c r="O190" s="451"/>
      <c r="P190" s="451"/>
      <c r="Q190" s="466">
        <v>169.5</v>
      </c>
      <c r="R190" s="451">
        <v>160</v>
      </c>
      <c r="S190" s="451">
        <v>9.5</v>
      </c>
      <c r="T190" s="451"/>
      <c r="U190" s="451">
        <f t="shared" si="204"/>
        <v>0</v>
      </c>
      <c r="V190" s="451">
        <f t="shared" si="205"/>
        <v>0</v>
      </c>
      <c r="W190" s="451">
        <f t="shared" si="205"/>
        <v>0</v>
      </c>
      <c r="X190" s="445">
        <f t="shared" si="189"/>
        <v>0</v>
      </c>
      <c r="Y190" s="451"/>
      <c r="Z190" s="451"/>
      <c r="AA190" s="451"/>
      <c r="AB190" s="483"/>
      <c r="AC190" s="483"/>
      <c r="AD190" s="451"/>
      <c r="AE190" s="483"/>
      <c r="AF190" s="483"/>
      <c r="AG190" s="451">
        <f t="shared" ref="AG190:AG194" si="212">+AH190+AI190</f>
        <v>169.5</v>
      </c>
      <c r="AH190" s="445">
        <v>160</v>
      </c>
      <c r="AI190" s="445">
        <v>9.5</v>
      </c>
      <c r="AJ190" s="451"/>
      <c r="AK190" s="451"/>
      <c r="AL190" s="15"/>
    </row>
    <row r="191" spans="1:41" ht="30">
      <c r="A191" s="8">
        <f t="shared" si="207"/>
        <v>11</v>
      </c>
      <c r="B191" s="328" t="s">
        <v>383</v>
      </c>
      <c r="C191" s="8" t="s">
        <v>384</v>
      </c>
      <c r="D191" s="8"/>
      <c r="E191" s="8" t="s">
        <v>385</v>
      </c>
      <c r="F191" s="8" t="s">
        <v>54</v>
      </c>
      <c r="G191" s="445">
        <f t="shared" si="188"/>
        <v>420</v>
      </c>
      <c r="H191" s="445">
        <v>400</v>
      </c>
      <c r="I191" s="445">
        <v>20</v>
      </c>
      <c r="J191" s="451">
        <v>0</v>
      </c>
      <c r="K191" s="483">
        <f t="shared" si="203"/>
        <v>0</v>
      </c>
      <c r="L191" s="451"/>
      <c r="M191" s="451"/>
      <c r="N191" s="483"/>
      <c r="O191" s="451"/>
      <c r="P191" s="451"/>
      <c r="Q191" s="466">
        <v>420</v>
      </c>
      <c r="R191" s="451">
        <v>400</v>
      </c>
      <c r="S191" s="451">
        <v>20</v>
      </c>
      <c r="T191" s="451"/>
      <c r="U191" s="451">
        <f t="shared" si="204"/>
        <v>0</v>
      </c>
      <c r="V191" s="451">
        <f t="shared" si="205"/>
        <v>0</v>
      </c>
      <c r="W191" s="451">
        <f t="shared" si="205"/>
        <v>0</v>
      </c>
      <c r="X191" s="445">
        <f t="shared" si="189"/>
        <v>0</v>
      </c>
      <c r="Y191" s="451"/>
      <c r="Z191" s="451"/>
      <c r="AA191" s="451"/>
      <c r="AB191" s="483"/>
      <c r="AC191" s="483"/>
      <c r="AD191" s="451"/>
      <c r="AE191" s="483"/>
      <c r="AF191" s="483"/>
      <c r="AG191" s="451">
        <f t="shared" si="212"/>
        <v>420</v>
      </c>
      <c r="AH191" s="445">
        <v>400</v>
      </c>
      <c r="AI191" s="445">
        <v>20</v>
      </c>
      <c r="AJ191" s="451"/>
      <c r="AK191" s="451"/>
      <c r="AL191" s="15"/>
    </row>
    <row r="192" spans="1:41" ht="45">
      <c r="A192" s="8">
        <f t="shared" si="207"/>
        <v>12</v>
      </c>
      <c r="B192" s="328" t="s">
        <v>386</v>
      </c>
      <c r="C192" s="8" t="s">
        <v>384</v>
      </c>
      <c r="D192" s="8"/>
      <c r="E192" s="8" t="s">
        <v>387</v>
      </c>
      <c r="F192" s="27" t="s">
        <v>55</v>
      </c>
      <c r="G192" s="445">
        <f t="shared" si="188"/>
        <v>414.89</v>
      </c>
      <c r="H192" s="445">
        <v>394.89</v>
      </c>
      <c r="I192" s="445">
        <v>20</v>
      </c>
      <c r="J192" s="451">
        <v>0</v>
      </c>
      <c r="K192" s="483">
        <f t="shared" si="203"/>
        <v>0</v>
      </c>
      <c r="L192" s="451"/>
      <c r="M192" s="451"/>
      <c r="N192" s="483"/>
      <c r="O192" s="451"/>
      <c r="P192" s="451"/>
      <c r="Q192" s="466">
        <v>414.89</v>
      </c>
      <c r="R192" s="451">
        <v>394.89</v>
      </c>
      <c r="S192" s="451">
        <v>20</v>
      </c>
      <c r="T192" s="451"/>
      <c r="U192" s="451">
        <f t="shared" si="204"/>
        <v>0</v>
      </c>
      <c r="V192" s="451">
        <f t="shared" si="205"/>
        <v>0</v>
      </c>
      <c r="W192" s="451">
        <f t="shared" si="205"/>
        <v>0</v>
      </c>
      <c r="X192" s="445">
        <f t="shared" si="189"/>
        <v>0</v>
      </c>
      <c r="Y192" s="451"/>
      <c r="Z192" s="451"/>
      <c r="AA192" s="451"/>
      <c r="AB192" s="483"/>
      <c r="AC192" s="483"/>
      <c r="AD192" s="451"/>
      <c r="AE192" s="483"/>
      <c r="AF192" s="483"/>
      <c r="AG192" s="451">
        <f t="shared" si="212"/>
        <v>414.89</v>
      </c>
      <c r="AH192" s="445">
        <v>394.89</v>
      </c>
      <c r="AI192" s="445">
        <v>20</v>
      </c>
      <c r="AJ192" s="451"/>
      <c r="AK192" s="451"/>
      <c r="AL192" s="15"/>
    </row>
    <row r="193" spans="1:41" ht="45">
      <c r="A193" s="8">
        <f t="shared" si="207"/>
        <v>13</v>
      </c>
      <c r="B193" s="328" t="s">
        <v>388</v>
      </c>
      <c r="C193" s="8" t="s">
        <v>379</v>
      </c>
      <c r="D193" s="8"/>
      <c r="E193" s="8" t="s">
        <v>389</v>
      </c>
      <c r="F193" s="27" t="s">
        <v>55</v>
      </c>
      <c r="G193" s="445">
        <f t="shared" si="188"/>
        <v>559</v>
      </c>
      <c r="H193" s="445">
        <v>532</v>
      </c>
      <c r="I193" s="445">
        <v>27</v>
      </c>
      <c r="J193" s="451">
        <v>0</v>
      </c>
      <c r="K193" s="483">
        <f t="shared" si="203"/>
        <v>0</v>
      </c>
      <c r="L193" s="451"/>
      <c r="M193" s="451"/>
      <c r="N193" s="483"/>
      <c r="O193" s="451"/>
      <c r="P193" s="451"/>
      <c r="Q193" s="466">
        <v>559</v>
      </c>
      <c r="R193" s="451">
        <v>532</v>
      </c>
      <c r="S193" s="451">
        <v>27</v>
      </c>
      <c r="T193" s="451"/>
      <c r="U193" s="451">
        <f t="shared" si="204"/>
        <v>0</v>
      </c>
      <c r="V193" s="451">
        <f t="shared" si="205"/>
        <v>0</v>
      </c>
      <c r="W193" s="451">
        <f t="shared" si="205"/>
        <v>0</v>
      </c>
      <c r="X193" s="445">
        <f t="shared" si="189"/>
        <v>0</v>
      </c>
      <c r="Y193" s="451"/>
      <c r="Z193" s="451"/>
      <c r="AA193" s="451"/>
      <c r="AB193" s="483"/>
      <c r="AC193" s="483"/>
      <c r="AD193" s="451"/>
      <c r="AE193" s="483"/>
      <c r="AF193" s="483"/>
      <c r="AG193" s="451">
        <f t="shared" si="212"/>
        <v>559</v>
      </c>
      <c r="AH193" s="445">
        <v>532</v>
      </c>
      <c r="AI193" s="445">
        <v>27</v>
      </c>
      <c r="AJ193" s="451"/>
      <c r="AK193" s="451"/>
      <c r="AL193" s="15"/>
    </row>
    <row r="194" spans="1:41" ht="45">
      <c r="A194" s="8">
        <f t="shared" si="207"/>
        <v>14</v>
      </c>
      <c r="B194" s="328" t="s">
        <v>390</v>
      </c>
      <c r="C194" s="8" t="s">
        <v>384</v>
      </c>
      <c r="D194" s="8"/>
      <c r="E194" s="8" t="s">
        <v>391</v>
      </c>
      <c r="F194" s="27" t="s">
        <v>55</v>
      </c>
      <c r="G194" s="445">
        <f t="shared" si="188"/>
        <v>1050</v>
      </c>
      <c r="H194" s="445">
        <v>1000</v>
      </c>
      <c r="I194" s="445">
        <v>50</v>
      </c>
      <c r="J194" s="451">
        <v>0</v>
      </c>
      <c r="K194" s="483">
        <f t="shared" si="203"/>
        <v>0</v>
      </c>
      <c r="L194" s="451"/>
      <c r="M194" s="451"/>
      <c r="N194" s="483"/>
      <c r="O194" s="451"/>
      <c r="P194" s="451"/>
      <c r="Q194" s="466">
        <v>1050</v>
      </c>
      <c r="R194" s="451">
        <v>1000</v>
      </c>
      <c r="S194" s="451">
        <v>50</v>
      </c>
      <c r="T194" s="451"/>
      <c r="U194" s="451">
        <f t="shared" si="204"/>
        <v>0</v>
      </c>
      <c r="V194" s="451">
        <f t="shared" si="205"/>
        <v>0</v>
      </c>
      <c r="W194" s="451">
        <f t="shared" si="205"/>
        <v>0</v>
      </c>
      <c r="X194" s="445">
        <f t="shared" si="189"/>
        <v>0</v>
      </c>
      <c r="Y194" s="451"/>
      <c r="Z194" s="451"/>
      <c r="AA194" s="451"/>
      <c r="AB194" s="483"/>
      <c r="AC194" s="483"/>
      <c r="AD194" s="451"/>
      <c r="AE194" s="483"/>
      <c r="AF194" s="483"/>
      <c r="AG194" s="451">
        <f t="shared" si="212"/>
        <v>1050</v>
      </c>
      <c r="AH194" s="445">
        <v>1000</v>
      </c>
      <c r="AI194" s="445">
        <v>50</v>
      </c>
      <c r="AJ194" s="451"/>
      <c r="AK194" s="451"/>
      <c r="AL194" s="15"/>
    </row>
    <row r="195" spans="1:41" ht="30">
      <c r="A195" s="8">
        <f t="shared" si="207"/>
        <v>15</v>
      </c>
      <c r="B195" s="328" t="s">
        <v>1132</v>
      </c>
      <c r="C195" s="8" t="s">
        <v>369</v>
      </c>
      <c r="D195" s="8"/>
      <c r="E195" s="8"/>
      <c r="F195" s="27" t="s">
        <v>55</v>
      </c>
      <c r="G195" s="445"/>
      <c r="H195" s="445"/>
      <c r="I195" s="445"/>
      <c r="J195" s="451"/>
      <c r="K195" s="483"/>
      <c r="L195" s="451"/>
      <c r="M195" s="451"/>
      <c r="N195" s="466">
        <v>605.28</v>
      </c>
      <c r="O195" s="451">
        <v>593.17999999999995</v>
      </c>
      <c r="P195" s="451">
        <v>12.1</v>
      </c>
      <c r="Q195" s="466">
        <v>605.28</v>
      </c>
      <c r="R195" s="451">
        <v>593.17999999999995</v>
      </c>
      <c r="S195" s="451">
        <v>12.1</v>
      </c>
      <c r="T195" s="451"/>
      <c r="U195" s="451"/>
      <c r="V195" s="451"/>
      <c r="W195" s="451"/>
      <c r="X195" s="445"/>
      <c r="Y195" s="451"/>
      <c r="Z195" s="451"/>
      <c r="AA195" s="451"/>
      <c r="AB195" s="483"/>
      <c r="AC195" s="483"/>
      <c r="AD195" s="451"/>
      <c r="AE195" s="483"/>
      <c r="AF195" s="483"/>
      <c r="AG195" s="451">
        <f>+AH195+AI195</f>
        <v>605.28</v>
      </c>
      <c r="AH195" s="483">
        <v>593.17999999999995</v>
      </c>
      <c r="AI195" s="483">
        <v>12.1</v>
      </c>
      <c r="AJ195" s="451"/>
      <c r="AK195" s="451"/>
      <c r="AL195" s="15"/>
    </row>
    <row r="196" spans="1:41" ht="30">
      <c r="A196" s="8">
        <f t="shared" si="207"/>
        <v>16</v>
      </c>
      <c r="B196" s="328" t="s">
        <v>1133</v>
      </c>
      <c r="C196" s="8" t="s">
        <v>361</v>
      </c>
      <c r="D196" s="8"/>
      <c r="E196" s="8"/>
      <c r="F196" s="27" t="s">
        <v>55</v>
      </c>
      <c r="G196" s="445"/>
      <c r="H196" s="445"/>
      <c r="I196" s="445"/>
      <c r="J196" s="451"/>
      <c r="K196" s="483"/>
      <c r="L196" s="451"/>
      <c r="M196" s="451"/>
      <c r="N196" s="466">
        <v>470.55</v>
      </c>
      <c r="O196" s="451">
        <v>462.16</v>
      </c>
      <c r="P196" s="451">
        <v>8.39</v>
      </c>
      <c r="Q196" s="466">
        <v>470.55</v>
      </c>
      <c r="R196" s="451">
        <v>462.16</v>
      </c>
      <c r="S196" s="451">
        <v>8.39</v>
      </c>
      <c r="T196" s="451"/>
      <c r="U196" s="451"/>
      <c r="V196" s="451"/>
      <c r="W196" s="451"/>
      <c r="X196" s="445"/>
      <c r="Y196" s="451"/>
      <c r="Z196" s="451"/>
      <c r="AA196" s="451"/>
      <c r="AB196" s="483"/>
      <c r="AC196" s="483"/>
      <c r="AD196" s="451"/>
      <c r="AE196" s="483"/>
      <c r="AF196" s="483"/>
      <c r="AG196" s="451">
        <f>+AH196+AI196</f>
        <v>470.55</v>
      </c>
      <c r="AH196" s="483">
        <v>462.16</v>
      </c>
      <c r="AI196" s="483">
        <v>8.39</v>
      </c>
      <c r="AJ196" s="451"/>
      <c r="AK196" s="451"/>
      <c r="AL196" s="15"/>
    </row>
    <row r="197" spans="1:41" s="14" customFormat="1" ht="23.25" customHeight="1">
      <c r="A197" s="4" t="s">
        <v>999</v>
      </c>
      <c r="B197" s="416" t="s">
        <v>393</v>
      </c>
      <c r="C197" s="418"/>
      <c r="D197" s="418"/>
      <c r="E197" s="417">
        <v>0</v>
      </c>
      <c r="F197" s="417"/>
      <c r="G197" s="446">
        <f>SUM(G198:G216)</f>
        <v>10113.950000000001</v>
      </c>
      <c r="H197" s="446">
        <f>SUM(H198:H216)</f>
        <v>9632.9500000000007</v>
      </c>
      <c r="I197" s="446">
        <f>SUM(I198:I216)</f>
        <v>481</v>
      </c>
      <c r="J197" s="446">
        <f>SUM(J198:J216)</f>
        <v>0</v>
      </c>
      <c r="K197" s="446">
        <f t="shared" ref="K197:T197" si="213">SUM(K198:K216)</f>
        <v>43.890239999999949</v>
      </c>
      <c r="L197" s="446">
        <f t="shared" si="213"/>
        <v>18.505039999999951</v>
      </c>
      <c r="M197" s="446">
        <f t="shared" si="213"/>
        <v>25.385200000000001</v>
      </c>
      <c r="N197" s="446">
        <f t="shared" si="213"/>
        <v>43.890239999999963</v>
      </c>
      <c r="O197" s="446">
        <f t="shared" si="213"/>
        <v>31.305039999999963</v>
      </c>
      <c r="P197" s="446">
        <f t="shared" si="213"/>
        <v>12.5852</v>
      </c>
      <c r="Q197" s="446">
        <f t="shared" si="213"/>
        <v>10113.950000000001</v>
      </c>
      <c r="R197" s="446">
        <f t="shared" si="213"/>
        <v>9632.9500000000007</v>
      </c>
      <c r="S197" s="446">
        <f t="shared" si="213"/>
        <v>480.99999999999994</v>
      </c>
      <c r="T197" s="446">
        <f t="shared" si="213"/>
        <v>0</v>
      </c>
      <c r="U197" s="446">
        <f t="shared" ref="U197:AI197" si="214">SUM(U198:U216)</f>
        <v>6854.0990599999996</v>
      </c>
      <c r="V197" s="446">
        <f t="shared" si="214"/>
        <v>6507.334960000001</v>
      </c>
      <c r="W197" s="446">
        <f t="shared" si="214"/>
        <v>346.76409999999993</v>
      </c>
      <c r="X197" s="446">
        <f t="shared" si="214"/>
        <v>2066.75</v>
      </c>
      <c r="Y197" s="446">
        <f t="shared" si="214"/>
        <v>1983.75</v>
      </c>
      <c r="Z197" s="446">
        <f t="shared" si="214"/>
        <v>83</v>
      </c>
      <c r="AA197" s="446">
        <f t="shared" si="214"/>
        <v>2304.34906</v>
      </c>
      <c r="AB197" s="446">
        <f t="shared" si="214"/>
        <v>2177.0849600000001</v>
      </c>
      <c r="AC197" s="446">
        <f t="shared" si="214"/>
        <v>127.2641</v>
      </c>
      <c r="AD197" s="446">
        <f t="shared" si="214"/>
        <v>2483</v>
      </c>
      <c r="AE197" s="446">
        <f t="shared" si="214"/>
        <v>2346.5</v>
      </c>
      <c r="AF197" s="446">
        <f t="shared" si="214"/>
        <v>136.5</v>
      </c>
      <c r="AG197" s="446">
        <f t="shared" si="214"/>
        <v>3259.8509399999998</v>
      </c>
      <c r="AH197" s="446">
        <f t="shared" si="214"/>
        <v>3125.6150399999997</v>
      </c>
      <c r="AI197" s="446">
        <f t="shared" si="214"/>
        <v>134.23590000000002</v>
      </c>
      <c r="AJ197" s="446"/>
      <c r="AK197" s="446">
        <f>SUM(AK198:AK216)</f>
        <v>190</v>
      </c>
      <c r="AL197" s="16"/>
      <c r="AM197" s="368">
        <f>+'NĂM 2022'!K67+'NĂM 2023'!N78+'NĂM 2024'!J74+'NĂM 2025'!J67</f>
        <v>10113.950000000001</v>
      </c>
      <c r="AN197" s="368">
        <f>+'NĂM 2022'!L67+'NĂM 2023'!O78+'NĂM 2024'!K74+'NĂM 2025'!K67</f>
        <v>9632.9500000000007</v>
      </c>
      <c r="AO197" s="368">
        <f>+'NĂM 2022'!M67+'NĂM 2023'!P78+'NĂM 2024'!L74+'NĂM 2025'!L67</f>
        <v>481</v>
      </c>
    </row>
    <row r="198" spans="1:41" s="146" customFormat="1" ht="30">
      <c r="A198" s="141">
        <v>1</v>
      </c>
      <c r="B198" s="337" t="s">
        <v>394</v>
      </c>
      <c r="C198" s="157" t="s">
        <v>395</v>
      </c>
      <c r="D198" s="157"/>
      <c r="E198" s="141" t="s">
        <v>396</v>
      </c>
      <c r="F198" s="158" t="s">
        <v>52</v>
      </c>
      <c r="G198" s="447">
        <f t="shared" si="188"/>
        <v>1047</v>
      </c>
      <c r="H198" s="447">
        <v>997</v>
      </c>
      <c r="I198" s="447">
        <v>50</v>
      </c>
      <c r="J198" s="448">
        <v>0</v>
      </c>
      <c r="K198" s="483">
        <f>+G198-Q198</f>
        <v>0</v>
      </c>
      <c r="L198" s="448"/>
      <c r="M198" s="448"/>
      <c r="N198" s="483"/>
      <c r="O198" s="448"/>
      <c r="P198" s="448"/>
      <c r="Q198" s="466">
        <f>+R198+S198</f>
        <v>1047</v>
      </c>
      <c r="R198" s="448">
        <v>997</v>
      </c>
      <c r="S198" s="448">
        <v>50</v>
      </c>
      <c r="T198" s="448"/>
      <c r="U198" s="448">
        <f>+V198+W198</f>
        <v>1047</v>
      </c>
      <c r="V198" s="448">
        <f>+Y198+AB198+AE198</f>
        <v>997</v>
      </c>
      <c r="W198" s="448">
        <f>+Z198+AC198+AF198</f>
        <v>50</v>
      </c>
      <c r="X198" s="445">
        <f t="shared" si="189"/>
        <v>1047</v>
      </c>
      <c r="Y198" s="447">
        <v>997</v>
      </c>
      <c r="Z198" s="447">
        <v>50</v>
      </c>
      <c r="AA198" s="447"/>
      <c r="AB198" s="481"/>
      <c r="AC198" s="481"/>
      <c r="AD198" s="447"/>
      <c r="AE198" s="481"/>
      <c r="AF198" s="481"/>
      <c r="AG198" s="447"/>
      <c r="AH198" s="481"/>
      <c r="AI198" s="481"/>
      <c r="AJ198" s="447"/>
      <c r="AK198" s="448"/>
      <c r="AL198" s="145"/>
      <c r="AM198" s="523">
        <f>+G197-U197</f>
        <v>3259.8509400000012</v>
      </c>
      <c r="AN198" s="523">
        <f>+H197-V197</f>
        <v>3125.6150399999997</v>
      </c>
      <c r="AO198" s="523">
        <f>+I197-W197</f>
        <v>134.23590000000007</v>
      </c>
    </row>
    <row r="199" spans="1:41" s="146" customFormat="1" ht="60">
      <c r="A199" s="141">
        <f>+A198+1</f>
        <v>2</v>
      </c>
      <c r="B199" s="337" t="s">
        <v>397</v>
      </c>
      <c r="C199" s="157" t="s">
        <v>398</v>
      </c>
      <c r="D199" s="157"/>
      <c r="E199" s="150" t="s">
        <v>399</v>
      </c>
      <c r="F199" s="158" t="s">
        <v>52</v>
      </c>
      <c r="G199" s="447">
        <f t="shared" si="188"/>
        <v>701</v>
      </c>
      <c r="H199" s="447">
        <v>668</v>
      </c>
      <c r="I199" s="447">
        <v>33</v>
      </c>
      <c r="J199" s="448">
        <v>0</v>
      </c>
      <c r="K199" s="483">
        <f t="shared" ref="K199:K216" si="215">+G199-Q199</f>
        <v>0</v>
      </c>
      <c r="L199" s="448"/>
      <c r="M199" s="448"/>
      <c r="N199" s="483"/>
      <c r="O199" s="448"/>
      <c r="P199" s="448"/>
      <c r="Q199" s="466">
        <f t="shared" ref="Q199:Q216" si="216">+R199+S199</f>
        <v>701</v>
      </c>
      <c r="R199" s="448">
        <v>668</v>
      </c>
      <c r="S199" s="448">
        <v>33</v>
      </c>
      <c r="T199" s="448"/>
      <c r="U199" s="448">
        <f t="shared" ref="U199:U216" si="217">+V199+W199</f>
        <v>701</v>
      </c>
      <c r="V199" s="448">
        <f t="shared" ref="V199:W216" si="218">+Y199+AB199+AE199</f>
        <v>668</v>
      </c>
      <c r="W199" s="448">
        <f t="shared" si="218"/>
        <v>33</v>
      </c>
      <c r="X199" s="445">
        <f t="shared" si="189"/>
        <v>701</v>
      </c>
      <c r="Y199" s="447">
        <v>668</v>
      </c>
      <c r="Z199" s="447">
        <v>33</v>
      </c>
      <c r="AA199" s="447"/>
      <c r="AB199" s="481"/>
      <c r="AC199" s="481"/>
      <c r="AD199" s="447"/>
      <c r="AE199" s="481"/>
      <c r="AF199" s="481"/>
      <c r="AG199" s="447"/>
      <c r="AH199" s="481"/>
      <c r="AI199" s="481"/>
      <c r="AJ199" s="447"/>
      <c r="AK199" s="448"/>
      <c r="AL199" s="145"/>
      <c r="AM199" s="525">
        <f>+AM198-AG197</f>
        <v>0</v>
      </c>
      <c r="AN199" s="525">
        <f t="shared" ref="AN199:AO199" si="219">+AN198-AH197</f>
        <v>0</v>
      </c>
      <c r="AO199" s="524">
        <f t="shared" si="219"/>
        <v>0</v>
      </c>
    </row>
    <row r="200" spans="1:41" s="146" customFormat="1" ht="30">
      <c r="A200" s="141">
        <f t="shared" ref="A200:A216" si="220">+A199+1</f>
        <v>3</v>
      </c>
      <c r="B200" s="337" t="s">
        <v>400</v>
      </c>
      <c r="C200" s="157" t="s">
        <v>401</v>
      </c>
      <c r="D200" s="157"/>
      <c r="E200" s="141" t="s">
        <v>402</v>
      </c>
      <c r="F200" s="158" t="s">
        <v>52</v>
      </c>
      <c r="G200" s="447">
        <f t="shared" si="188"/>
        <v>399</v>
      </c>
      <c r="H200" s="447">
        <v>380</v>
      </c>
      <c r="I200" s="447">
        <v>19</v>
      </c>
      <c r="J200" s="448">
        <v>0</v>
      </c>
      <c r="K200" s="483">
        <f>+L200+M200</f>
        <v>5.0610999999999997</v>
      </c>
      <c r="L200" s="448">
        <f>+H200-R200</f>
        <v>0</v>
      </c>
      <c r="M200" s="448">
        <f>+I200-S200</f>
        <v>5.0610999999999997</v>
      </c>
      <c r="N200" s="483"/>
      <c r="O200" s="448"/>
      <c r="P200" s="448"/>
      <c r="Q200" s="466">
        <f t="shared" si="216"/>
        <v>393.93889999999999</v>
      </c>
      <c r="R200" s="448">
        <v>380</v>
      </c>
      <c r="S200" s="448">
        <v>13.9389</v>
      </c>
      <c r="T200" s="448"/>
      <c r="U200" s="448">
        <f t="shared" si="217"/>
        <v>393.93889999999999</v>
      </c>
      <c r="V200" s="448">
        <f t="shared" si="218"/>
        <v>380</v>
      </c>
      <c r="W200" s="448">
        <f t="shared" si="218"/>
        <v>13.9389</v>
      </c>
      <c r="X200" s="445">
        <f>+Y200+Z200</f>
        <v>318.75</v>
      </c>
      <c r="Y200" s="447">
        <v>318.75</v>
      </c>
      <c r="Z200" s="447">
        <v>0</v>
      </c>
      <c r="AA200" s="447">
        <f>+AB200+AC200</f>
        <v>75.188900000000004</v>
      </c>
      <c r="AB200" s="481">
        <v>61.25</v>
      </c>
      <c r="AC200" s="481">
        <f>19-5.0611</f>
        <v>13.9389</v>
      </c>
      <c r="AD200" s="447"/>
      <c r="AE200" s="481"/>
      <c r="AF200" s="481"/>
      <c r="AG200" s="447"/>
      <c r="AH200" s="481"/>
      <c r="AI200" s="481"/>
      <c r="AJ200" s="447"/>
      <c r="AK200" s="448"/>
      <c r="AL200" s="145"/>
      <c r="AM200" s="369"/>
      <c r="AN200" s="369"/>
      <c r="AO200" s="369"/>
    </row>
    <row r="201" spans="1:41" s="146" customFormat="1" ht="60">
      <c r="A201" s="141">
        <f t="shared" si="220"/>
        <v>4</v>
      </c>
      <c r="B201" s="337" t="s">
        <v>403</v>
      </c>
      <c r="C201" s="157" t="s">
        <v>398</v>
      </c>
      <c r="D201" s="157"/>
      <c r="E201" s="150" t="s">
        <v>404</v>
      </c>
      <c r="F201" s="158" t="s">
        <v>53</v>
      </c>
      <c r="G201" s="447">
        <f t="shared" si="188"/>
        <v>448</v>
      </c>
      <c r="H201" s="447">
        <v>428</v>
      </c>
      <c r="I201" s="447">
        <v>20</v>
      </c>
      <c r="J201" s="448">
        <v>0</v>
      </c>
      <c r="K201" s="483">
        <f>+L201+M201</f>
        <v>5.5047000000000139</v>
      </c>
      <c r="L201" s="448">
        <f>+H201-R201</f>
        <v>5.5047000000000139</v>
      </c>
      <c r="M201" s="448">
        <f>+I201-S201</f>
        <v>0</v>
      </c>
      <c r="N201" s="483"/>
      <c r="O201" s="448"/>
      <c r="P201" s="448"/>
      <c r="Q201" s="466">
        <f t="shared" si="216"/>
        <v>442.49529999999999</v>
      </c>
      <c r="R201" s="448">
        <v>422.49529999999999</v>
      </c>
      <c r="S201" s="448">
        <v>20</v>
      </c>
      <c r="T201" s="448"/>
      <c r="U201" s="448">
        <f t="shared" si="217"/>
        <v>442.49529999999999</v>
      </c>
      <c r="V201" s="448">
        <f t="shared" si="218"/>
        <v>422.49529999999999</v>
      </c>
      <c r="W201" s="448">
        <f t="shared" si="218"/>
        <v>20</v>
      </c>
      <c r="X201" s="445">
        <f t="shared" si="189"/>
        <v>0</v>
      </c>
      <c r="Y201" s="448"/>
      <c r="Z201" s="448"/>
      <c r="AA201" s="448">
        <f>+AB201+AC201</f>
        <v>442.49529999999999</v>
      </c>
      <c r="AB201" s="483">
        <f>428-5.5047</f>
        <v>422.49529999999999</v>
      </c>
      <c r="AC201" s="483">
        <v>20</v>
      </c>
      <c r="AD201" s="448"/>
      <c r="AE201" s="483"/>
      <c r="AF201" s="483"/>
      <c r="AG201" s="448"/>
      <c r="AH201" s="483"/>
      <c r="AI201" s="483"/>
      <c r="AJ201" s="448"/>
      <c r="AK201" s="448"/>
      <c r="AL201" s="145"/>
      <c r="AM201" s="369"/>
      <c r="AN201" s="369"/>
      <c r="AO201" s="369"/>
    </row>
    <row r="202" spans="1:41" s="146" customFormat="1" ht="60">
      <c r="A202" s="141">
        <f t="shared" si="220"/>
        <v>5</v>
      </c>
      <c r="B202" s="337" t="s">
        <v>405</v>
      </c>
      <c r="C202" s="157" t="s">
        <v>406</v>
      </c>
      <c r="D202" s="157"/>
      <c r="E202" s="150" t="s">
        <v>407</v>
      </c>
      <c r="F202" s="158" t="s">
        <v>53</v>
      </c>
      <c r="G202" s="447">
        <f t="shared" si="188"/>
        <v>340</v>
      </c>
      <c r="H202" s="447">
        <v>325</v>
      </c>
      <c r="I202" s="447">
        <v>15</v>
      </c>
      <c r="J202" s="448">
        <v>0</v>
      </c>
      <c r="K202" s="483">
        <f t="shared" si="215"/>
        <v>0</v>
      </c>
      <c r="L202" s="448"/>
      <c r="M202" s="448"/>
      <c r="N202" s="483"/>
      <c r="O202" s="448"/>
      <c r="P202" s="448"/>
      <c r="Q202" s="466">
        <f t="shared" si="216"/>
        <v>340</v>
      </c>
      <c r="R202" s="448">
        <v>325</v>
      </c>
      <c r="S202" s="448">
        <v>15</v>
      </c>
      <c r="T202" s="448"/>
      <c r="U202" s="448">
        <f t="shared" si="217"/>
        <v>340</v>
      </c>
      <c r="V202" s="448">
        <f t="shared" si="218"/>
        <v>325</v>
      </c>
      <c r="W202" s="448">
        <f t="shared" si="218"/>
        <v>15</v>
      </c>
      <c r="X202" s="445">
        <f t="shared" si="189"/>
        <v>0</v>
      </c>
      <c r="Y202" s="448"/>
      <c r="Z202" s="448"/>
      <c r="AA202" s="448">
        <f t="shared" ref="AA202:AA206" si="221">+AB202+AC202</f>
        <v>340</v>
      </c>
      <c r="AB202" s="483">
        <v>325</v>
      </c>
      <c r="AC202" s="483">
        <v>15</v>
      </c>
      <c r="AD202" s="448"/>
      <c r="AE202" s="483"/>
      <c r="AF202" s="483"/>
      <c r="AG202" s="448"/>
      <c r="AH202" s="483"/>
      <c r="AI202" s="483"/>
      <c r="AJ202" s="448"/>
      <c r="AK202" s="448"/>
      <c r="AL202" s="145"/>
      <c r="AM202" s="369"/>
      <c r="AN202" s="369"/>
      <c r="AO202" s="369"/>
    </row>
    <row r="203" spans="1:41" s="146" customFormat="1" ht="30">
      <c r="A203" s="141">
        <f t="shared" si="220"/>
        <v>6</v>
      </c>
      <c r="B203" s="337" t="s">
        <v>408</v>
      </c>
      <c r="C203" s="157" t="s">
        <v>409</v>
      </c>
      <c r="D203" s="157"/>
      <c r="E203" s="141" t="s">
        <v>806</v>
      </c>
      <c r="F203" s="158" t="s">
        <v>53</v>
      </c>
      <c r="G203" s="447">
        <f t="shared" si="188"/>
        <v>499</v>
      </c>
      <c r="H203" s="447">
        <v>475</v>
      </c>
      <c r="I203" s="447">
        <v>24</v>
      </c>
      <c r="J203" s="448">
        <v>0</v>
      </c>
      <c r="K203" s="483">
        <f>+L203+M203</f>
        <v>13</v>
      </c>
      <c r="L203" s="448">
        <f>+H203-R203</f>
        <v>13</v>
      </c>
      <c r="M203" s="448"/>
      <c r="N203" s="483">
        <f>+O203+P203</f>
        <v>12.581299999999999</v>
      </c>
      <c r="O203" s="448"/>
      <c r="P203" s="448">
        <f>+S203-I203</f>
        <v>12.581299999999999</v>
      </c>
      <c r="Q203" s="466">
        <f t="shared" si="216"/>
        <v>498.5813</v>
      </c>
      <c r="R203" s="448">
        <v>462</v>
      </c>
      <c r="S203" s="448">
        <v>36.581299999999999</v>
      </c>
      <c r="T203" s="448"/>
      <c r="U203" s="448">
        <f t="shared" si="217"/>
        <v>498.5813</v>
      </c>
      <c r="V203" s="448">
        <f t="shared" si="218"/>
        <v>462</v>
      </c>
      <c r="W203" s="448">
        <f t="shared" si="218"/>
        <v>36.581299999999999</v>
      </c>
      <c r="X203" s="445">
        <f t="shared" si="189"/>
        <v>0</v>
      </c>
      <c r="Y203" s="448"/>
      <c r="Z203" s="448"/>
      <c r="AA203" s="448">
        <f t="shared" si="221"/>
        <v>180.38130000000001</v>
      </c>
      <c r="AB203" s="483">
        <v>161.30000000000001</v>
      </c>
      <c r="AC203" s="483">
        <f>19.51-0.4287</f>
        <v>19.081300000000002</v>
      </c>
      <c r="AD203" s="448">
        <f>+AE203+AF203</f>
        <v>318.2</v>
      </c>
      <c r="AE203" s="483">
        <v>300.7</v>
      </c>
      <c r="AF203" s="483">
        <v>17.5</v>
      </c>
      <c r="AG203" s="448"/>
      <c r="AH203" s="483"/>
      <c r="AI203" s="483"/>
      <c r="AJ203" s="448"/>
      <c r="AK203" s="448"/>
      <c r="AL203" s="145"/>
      <c r="AM203" s="369"/>
      <c r="AN203" s="369"/>
      <c r="AO203" s="369"/>
    </row>
    <row r="204" spans="1:41" s="146" customFormat="1" ht="60">
      <c r="A204" s="141">
        <f t="shared" si="220"/>
        <v>7</v>
      </c>
      <c r="B204" s="337" t="s">
        <v>411</v>
      </c>
      <c r="C204" s="157" t="s">
        <v>412</v>
      </c>
      <c r="D204" s="157"/>
      <c r="E204" s="150" t="s">
        <v>413</v>
      </c>
      <c r="F204" s="158" t="s">
        <v>53</v>
      </c>
      <c r="G204" s="447">
        <f t="shared" si="188"/>
        <v>499</v>
      </c>
      <c r="H204" s="447">
        <v>475</v>
      </c>
      <c r="I204" s="447">
        <v>24</v>
      </c>
      <c r="J204" s="448">
        <v>0</v>
      </c>
      <c r="K204" s="483">
        <f t="shared" si="215"/>
        <v>0</v>
      </c>
      <c r="L204" s="448"/>
      <c r="M204" s="448"/>
      <c r="N204" s="483"/>
      <c r="O204" s="448"/>
      <c r="P204" s="448"/>
      <c r="Q204" s="466">
        <f t="shared" si="216"/>
        <v>499</v>
      </c>
      <c r="R204" s="448">
        <v>475</v>
      </c>
      <c r="S204" s="448">
        <v>24</v>
      </c>
      <c r="T204" s="448"/>
      <c r="U204" s="448">
        <f t="shared" si="217"/>
        <v>499</v>
      </c>
      <c r="V204" s="448">
        <f t="shared" si="218"/>
        <v>475</v>
      </c>
      <c r="W204" s="448">
        <f t="shared" si="218"/>
        <v>24</v>
      </c>
      <c r="X204" s="445">
        <f t="shared" si="189"/>
        <v>0</v>
      </c>
      <c r="Y204" s="448"/>
      <c r="Z204" s="448"/>
      <c r="AA204" s="448">
        <f t="shared" si="221"/>
        <v>499</v>
      </c>
      <c r="AB204" s="483">
        <v>475</v>
      </c>
      <c r="AC204" s="483">
        <v>24</v>
      </c>
      <c r="AD204" s="448"/>
      <c r="AE204" s="483"/>
      <c r="AF204" s="483"/>
      <c r="AG204" s="448"/>
      <c r="AH204" s="483"/>
      <c r="AI204" s="483"/>
      <c r="AJ204" s="448"/>
      <c r="AK204" s="448"/>
      <c r="AL204" s="145"/>
      <c r="AM204" s="369"/>
      <c r="AN204" s="369"/>
      <c r="AO204" s="369"/>
    </row>
    <row r="205" spans="1:41" s="146" customFormat="1" ht="75">
      <c r="A205" s="141">
        <f t="shared" si="220"/>
        <v>8</v>
      </c>
      <c r="B205" s="337" t="s">
        <v>414</v>
      </c>
      <c r="C205" s="157" t="s">
        <v>415</v>
      </c>
      <c r="D205" s="157"/>
      <c r="E205" s="141" t="s">
        <v>208</v>
      </c>
      <c r="F205" s="158" t="s">
        <v>53</v>
      </c>
      <c r="G205" s="447">
        <f t="shared" si="188"/>
        <v>299</v>
      </c>
      <c r="H205" s="447">
        <v>285</v>
      </c>
      <c r="I205" s="447">
        <v>14</v>
      </c>
      <c r="J205" s="448">
        <v>0</v>
      </c>
      <c r="K205" s="483">
        <f t="shared" si="215"/>
        <v>0</v>
      </c>
      <c r="L205" s="448"/>
      <c r="M205" s="448"/>
      <c r="N205" s="483"/>
      <c r="O205" s="448"/>
      <c r="P205" s="448"/>
      <c r="Q205" s="466">
        <f t="shared" si="216"/>
        <v>299</v>
      </c>
      <c r="R205" s="448">
        <v>285</v>
      </c>
      <c r="S205" s="448">
        <v>14</v>
      </c>
      <c r="T205" s="448"/>
      <c r="U205" s="448">
        <f t="shared" si="217"/>
        <v>299</v>
      </c>
      <c r="V205" s="448">
        <f t="shared" si="218"/>
        <v>285</v>
      </c>
      <c r="W205" s="448">
        <f t="shared" si="218"/>
        <v>14</v>
      </c>
      <c r="X205" s="445">
        <f t="shared" si="189"/>
        <v>0</v>
      </c>
      <c r="Y205" s="448"/>
      <c r="Z205" s="448"/>
      <c r="AA205" s="448">
        <f t="shared" si="221"/>
        <v>299</v>
      </c>
      <c r="AB205" s="483">
        <v>285</v>
      </c>
      <c r="AC205" s="483">
        <v>14</v>
      </c>
      <c r="AD205" s="448"/>
      <c r="AE205" s="483"/>
      <c r="AF205" s="483"/>
      <c r="AG205" s="448"/>
      <c r="AH205" s="483"/>
      <c r="AI205" s="483"/>
      <c r="AJ205" s="448"/>
      <c r="AK205" s="448"/>
      <c r="AL205" s="145"/>
      <c r="AM205" s="369"/>
      <c r="AN205" s="369"/>
      <c r="AO205" s="369"/>
    </row>
    <row r="206" spans="1:41" s="146" customFormat="1" ht="60">
      <c r="A206" s="141">
        <f t="shared" si="220"/>
        <v>9</v>
      </c>
      <c r="B206" s="337" t="s">
        <v>416</v>
      </c>
      <c r="C206" s="157" t="s">
        <v>401</v>
      </c>
      <c r="D206" s="157"/>
      <c r="E206" s="150" t="s">
        <v>417</v>
      </c>
      <c r="F206" s="158" t="s">
        <v>53</v>
      </c>
      <c r="G206" s="447">
        <f t="shared" si="188"/>
        <v>683</v>
      </c>
      <c r="H206" s="447">
        <v>650</v>
      </c>
      <c r="I206" s="447">
        <v>33</v>
      </c>
      <c r="J206" s="448">
        <v>0</v>
      </c>
      <c r="K206" s="546">
        <f>+L206+M206</f>
        <v>3.3999999993739038E-4</v>
      </c>
      <c r="L206" s="530">
        <f>+H206-R206</f>
        <v>3.3999999993739038E-4</v>
      </c>
      <c r="M206" s="448"/>
      <c r="N206" s="546">
        <f>+O206+P206</f>
        <v>3.9000000000015689E-3</v>
      </c>
      <c r="O206" s="547"/>
      <c r="P206" s="547">
        <f>+S206-I206</f>
        <v>3.9000000000015689E-3</v>
      </c>
      <c r="Q206" s="466">
        <f t="shared" si="216"/>
        <v>683.00356000000011</v>
      </c>
      <c r="R206" s="448">
        <v>649.99966000000006</v>
      </c>
      <c r="S206" s="448">
        <v>33.003900000000002</v>
      </c>
      <c r="T206" s="448"/>
      <c r="U206" s="448">
        <f t="shared" si="217"/>
        <v>683.00356000000011</v>
      </c>
      <c r="V206" s="448">
        <f t="shared" si="218"/>
        <v>649.99966000000006</v>
      </c>
      <c r="W206" s="448">
        <f t="shared" si="218"/>
        <v>33.003900000000002</v>
      </c>
      <c r="X206" s="445">
        <f t="shared" si="189"/>
        <v>0</v>
      </c>
      <c r="Y206" s="448"/>
      <c r="Z206" s="448"/>
      <c r="AA206" s="448">
        <f t="shared" si="221"/>
        <v>468.28356000000002</v>
      </c>
      <c r="AB206" s="483">
        <f>338.75+108.28966</f>
        <v>447.03966000000003</v>
      </c>
      <c r="AC206" s="483">
        <f>14+7.2439</f>
        <v>21.2439</v>
      </c>
      <c r="AD206" s="448">
        <f>+AE206+AF206</f>
        <v>214.72</v>
      </c>
      <c r="AE206" s="483">
        <v>202.96</v>
      </c>
      <c r="AF206" s="483">
        <v>11.76</v>
      </c>
      <c r="AG206" s="448"/>
      <c r="AH206" s="483"/>
      <c r="AI206" s="483"/>
      <c r="AJ206" s="448"/>
      <c r="AK206" s="448"/>
      <c r="AL206" s="145"/>
      <c r="AM206" s="369"/>
      <c r="AN206" s="369"/>
      <c r="AO206" s="369"/>
    </row>
    <row r="207" spans="1:41" s="146" customFormat="1" ht="30">
      <c r="A207" s="141">
        <f t="shared" si="220"/>
        <v>10</v>
      </c>
      <c r="B207" s="337" t="s">
        <v>418</v>
      </c>
      <c r="C207" s="157" t="s">
        <v>419</v>
      </c>
      <c r="D207" s="157"/>
      <c r="E207" s="141" t="s">
        <v>410</v>
      </c>
      <c r="F207" s="158" t="s">
        <v>54</v>
      </c>
      <c r="G207" s="447">
        <f t="shared" si="188"/>
        <v>499</v>
      </c>
      <c r="H207" s="447">
        <v>475</v>
      </c>
      <c r="I207" s="447">
        <v>24</v>
      </c>
      <c r="J207" s="448">
        <v>0</v>
      </c>
      <c r="K207" s="483">
        <f t="shared" si="215"/>
        <v>0</v>
      </c>
      <c r="L207" s="448"/>
      <c r="M207" s="448"/>
      <c r="N207" s="483"/>
      <c r="O207" s="448"/>
      <c r="P207" s="448"/>
      <c r="Q207" s="466">
        <f t="shared" si="216"/>
        <v>499</v>
      </c>
      <c r="R207" s="448">
        <v>471.6</v>
      </c>
      <c r="S207" s="448">
        <v>27.4</v>
      </c>
      <c r="T207" s="448"/>
      <c r="U207" s="448">
        <f t="shared" si="217"/>
        <v>499</v>
      </c>
      <c r="V207" s="448">
        <f t="shared" si="218"/>
        <v>471.6</v>
      </c>
      <c r="W207" s="448">
        <f t="shared" si="218"/>
        <v>27.4</v>
      </c>
      <c r="X207" s="445">
        <f t="shared" si="189"/>
        <v>0</v>
      </c>
      <c r="Y207" s="448"/>
      <c r="Z207" s="448"/>
      <c r="AA207" s="448"/>
      <c r="AB207" s="483"/>
      <c r="AC207" s="483"/>
      <c r="AD207" s="448">
        <f>+AE207+AF207</f>
        <v>499</v>
      </c>
      <c r="AE207" s="483">
        <v>471.6</v>
      </c>
      <c r="AF207" s="483">
        <v>27.4</v>
      </c>
      <c r="AG207" s="448"/>
      <c r="AH207" s="483"/>
      <c r="AI207" s="483"/>
      <c r="AJ207" s="448"/>
      <c r="AK207" s="448"/>
      <c r="AL207" s="145"/>
      <c r="AM207" s="369"/>
      <c r="AN207" s="369"/>
      <c r="AO207" s="369"/>
    </row>
    <row r="208" spans="1:41" s="146" customFormat="1" ht="60">
      <c r="A208" s="141">
        <f t="shared" si="220"/>
        <v>11</v>
      </c>
      <c r="B208" s="337" t="s">
        <v>424</v>
      </c>
      <c r="C208" s="157" t="s">
        <v>419</v>
      </c>
      <c r="D208" s="157"/>
      <c r="E208" s="150" t="s">
        <v>413</v>
      </c>
      <c r="F208" s="158" t="s">
        <v>55</v>
      </c>
      <c r="G208" s="447">
        <f t="shared" si="188"/>
        <v>299</v>
      </c>
      <c r="H208" s="447">
        <v>285</v>
      </c>
      <c r="I208" s="447">
        <v>14</v>
      </c>
      <c r="J208" s="448">
        <v>0</v>
      </c>
      <c r="K208" s="483">
        <f t="shared" si="215"/>
        <v>0</v>
      </c>
      <c r="L208" s="448"/>
      <c r="M208" s="448"/>
      <c r="N208" s="483"/>
      <c r="O208" s="448"/>
      <c r="P208" s="448"/>
      <c r="Q208" s="466">
        <f t="shared" si="216"/>
        <v>299</v>
      </c>
      <c r="R208" s="448">
        <v>282.60000000000002</v>
      </c>
      <c r="S208" s="448">
        <v>16.399999999999999</v>
      </c>
      <c r="T208" s="448"/>
      <c r="U208" s="448">
        <f t="shared" si="217"/>
        <v>299</v>
      </c>
      <c r="V208" s="448">
        <f t="shared" si="218"/>
        <v>282.60000000000002</v>
      </c>
      <c r="W208" s="448">
        <f t="shared" si="218"/>
        <v>16.399999999999999</v>
      </c>
      <c r="X208" s="445">
        <f t="shared" si="189"/>
        <v>0</v>
      </c>
      <c r="Y208" s="448"/>
      <c r="Z208" s="448"/>
      <c r="AA208" s="448"/>
      <c r="AB208" s="483"/>
      <c r="AC208" s="483"/>
      <c r="AD208" s="448">
        <f>+AE208+AF208</f>
        <v>299</v>
      </c>
      <c r="AE208" s="483">
        <v>282.60000000000002</v>
      </c>
      <c r="AF208" s="483">
        <v>16.399999999999999</v>
      </c>
      <c r="AG208" s="448"/>
      <c r="AH208" s="483"/>
      <c r="AI208" s="483"/>
      <c r="AJ208" s="448"/>
      <c r="AK208" s="448"/>
      <c r="AL208" s="145"/>
      <c r="AM208" s="369"/>
      <c r="AN208" s="369"/>
      <c r="AO208" s="369"/>
    </row>
    <row r="209" spans="1:41" s="146" customFormat="1" ht="75">
      <c r="A209" s="141">
        <f t="shared" si="220"/>
        <v>12</v>
      </c>
      <c r="B209" s="337" t="s">
        <v>425</v>
      </c>
      <c r="C209" s="157" t="s">
        <v>426</v>
      </c>
      <c r="D209" s="157"/>
      <c r="E209" s="141" t="s">
        <v>427</v>
      </c>
      <c r="F209" s="158" t="s">
        <v>55</v>
      </c>
      <c r="G209" s="447">
        <f t="shared" si="188"/>
        <v>200</v>
      </c>
      <c r="H209" s="447">
        <v>190</v>
      </c>
      <c r="I209" s="447">
        <v>10</v>
      </c>
      <c r="J209" s="448">
        <v>0</v>
      </c>
      <c r="K209" s="483">
        <f>+L209+M209</f>
        <v>0</v>
      </c>
      <c r="L209" s="448">
        <f>+H209-R209</f>
        <v>0</v>
      </c>
      <c r="M209" s="448">
        <f>+I209-S209</f>
        <v>0</v>
      </c>
      <c r="N209" s="483"/>
      <c r="O209" s="448"/>
      <c r="P209" s="448"/>
      <c r="Q209" s="466">
        <f>+R209+S209</f>
        <v>200</v>
      </c>
      <c r="R209" s="448">
        <v>190</v>
      </c>
      <c r="S209" s="448">
        <v>10</v>
      </c>
      <c r="T209" s="448"/>
      <c r="U209" s="448">
        <f t="shared" si="217"/>
        <v>152.07999999999998</v>
      </c>
      <c r="V209" s="448">
        <f t="shared" si="218"/>
        <v>143.63999999999999</v>
      </c>
      <c r="W209" s="448">
        <f t="shared" si="218"/>
        <v>8.44</v>
      </c>
      <c r="X209" s="445">
        <f t="shared" si="189"/>
        <v>0</v>
      </c>
      <c r="Y209" s="448"/>
      <c r="Z209" s="448"/>
      <c r="AA209" s="448"/>
      <c r="AB209" s="483"/>
      <c r="AC209" s="483"/>
      <c r="AD209" s="448">
        <f>+AE209+AF209</f>
        <v>152.07999999999998</v>
      </c>
      <c r="AE209" s="483">
        <v>143.63999999999999</v>
      </c>
      <c r="AF209" s="483">
        <v>8.44</v>
      </c>
      <c r="AG209" s="448">
        <f>+AH209+AI209</f>
        <v>47.92</v>
      </c>
      <c r="AH209" s="483">
        <v>46.36</v>
      </c>
      <c r="AI209" s="483">
        <v>1.56</v>
      </c>
      <c r="AJ209" s="448">
        <f>+AD209+AG209</f>
        <v>200</v>
      </c>
      <c r="AK209" s="448">
        <f t="shared" ref="AK209:AL209" si="222">+AE209+AH209</f>
        <v>190</v>
      </c>
      <c r="AL209" s="448">
        <f t="shared" si="222"/>
        <v>10</v>
      </c>
      <c r="AM209" s="369"/>
      <c r="AN209" s="369"/>
      <c r="AO209" s="369"/>
    </row>
    <row r="210" spans="1:41" s="146" customFormat="1" ht="75">
      <c r="A210" s="141">
        <f t="shared" si="220"/>
        <v>13</v>
      </c>
      <c r="B210" s="338" t="s">
        <v>805</v>
      </c>
      <c r="C210" s="157" t="s">
        <v>428</v>
      </c>
      <c r="D210" s="157"/>
      <c r="E210" s="141" t="s">
        <v>128</v>
      </c>
      <c r="F210" s="158" t="s">
        <v>55</v>
      </c>
      <c r="G210" s="447">
        <f t="shared" si="188"/>
        <v>1000</v>
      </c>
      <c r="H210" s="447">
        <v>952</v>
      </c>
      <c r="I210" s="447">
        <v>48</v>
      </c>
      <c r="J210" s="448">
        <v>0</v>
      </c>
      <c r="K210" s="483">
        <f t="shared" si="215"/>
        <v>0</v>
      </c>
      <c r="L210" s="448"/>
      <c r="M210" s="448"/>
      <c r="N210" s="483"/>
      <c r="O210" s="448"/>
      <c r="P210" s="448"/>
      <c r="Q210" s="466">
        <f t="shared" si="216"/>
        <v>1000</v>
      </c>
      <c r="R210" s="448">
        <v>945</v>
      </c>
      <c r="S210" s="448">
        <v>55</v>
      </c>
      <c r="T210" s="448"/>
      <c r="U210" s="448">
        <f t="shared" si="217"/>
        <v>1000</v>
      </c>
      <c r="V210" s="448">
        <f t="shared" si="218"/>
        <v>945</v>
      </c>
      <c r="W210" s="448">
        <f t="shared" si="218"/>
        <v>55</v>
      </c>
      <c r="X210" s="445">
        <f t="shared" si="189"/>
        <v>0</v>
      </c>
      <c r="Y210" s="448"/>
      <c r="Z210" s="448"/>
      <c r="AA210" s="448"/>
      <c r="AB210" s="483"/>
      <c r="AC210" s="483"/>
      <c r="AD210" s="448">
        <f>+AE210+AF210</f>
        <v>1000</v>
      </c>
      <c r="AE210" s="483">
        <v>945</v>
      </c>
      <c r="AF210" s="483">
        <v>55</v>
      </c>
      <c r="AG210" s="448"/>
      <c r="AH210" s="483"/>
      <c r="AI210" s="483"/>
      <c r="AJ210" s="448"/>
      <c r="AK210" s="448"/>
      <c r="AL210" s="145"/>
      <c r="AM210" s="369"/>
      <c r="AN210" s="369"/>
      <c r="AO210" s="369"/>
    </row>
    <row r="211" spans="1:41" s="146" customFormat="1" ht="60">
      <c r="A211" s="141">
        <f t="shared" si="220"/>
        <v>14</v>
      </c>
      <c r="B211" s="337" t="s">
        <v>420</v>
      </c>
      <c r="C211" s="157" t="s">
        <v>395</v>
      </c>
      <c r="D211" s="157"/>
      <c r="E211" s="150" t="s">
        <v>421</v>
      </c>
      <c r="F211" s="158" t="s">
        <v>54</v>
      </c>
      <c r="G211" s="447">
        <f>H211+I211</f>
        <v>1998</v>
      </c>
      <c r="H211" s="447">
        <v>1903</v>
      </c>
      <c r="I211" s="447">
        <v>95</v>
      </c>
      <c r="J211" s="448">
        <v>0</v>
      </c>
      <c r="K211" s="483">
        <f>+L211+M211</f>
        <v>20.324100000000001</v>
      </c>
      <c r="L211" s="448"/>
      <c r="M211" s="448">
        <f>+I211-S211</f>
        <v>20.324100000000001</v>
      </c>
      <c r="N211" s="483">
        <f>+O211+P211</f>
        <v>31.305039999999963</v>
      </c>
      <c r="O211" s="448">
        <f>+R211-H211</f>
        <v>31.305039999999963</v>
      </c>
      <c r="P211" s="448"/>
      <c r="Q211" s="466">
        <f t="shared" si="216"/>
        <v>2008.9809399999999</v>
      </c>
      <c r="R211" s="448">
        <v>1934.30504</v>
      </c>
      <c r="S211" s="448">
        <v>74.675899999999999</v>
      </c>
      <c r="T211" s="448"/>
      <c r="U211" s="448">
        <f>+V211+W211</f>
        <v>0</v>
      </c>
      <c r="V211" s="448">
        <f t="shared" ref="V211:W213" si="223">+Y211+AB211+AE211</f>
        <v>0</v>
      </c>
      <c r="W211" s="448">
        <f t="shared" si="223"/>
        <v>0</v>
      </c>
      <c r="X211" s="445">
        <f>Y211+Z211</f>
        <v>0</v>
      </c>
      <c r="Y211" s="448"/>
      <c r="Z211" s="448"/>
      <c r="AA211" s="448"/>
      <c r="AB211" s="483"/>
      <c r="AC211" s="483"/>
      <c r="AD211" s="448"/>
      <c r="AE211" s="483"/>
      <c r="AF211" s="483"/>
      <c r="AG211" s="447">
        <f t="shared" ref="AG211:AG213" si="224">AH211+AI211</f>
        <v>2008.9809399999999</v>
      </c>
      <c r="AH211" s="447">
        <v>1934.30504</v>
      </c>
      <c r="AI211" s="447">
        <v>74.675899999999999</v>
      </c>
      <c r="AJ211" s="448"/>
      <c r="AK211" s="448"/>
      <c r="AL211" s="145"/>
      <c r="AM211" s="369"/>
      <c r="AN211" s="369"/>
      <c r="AO211" s="369"/>
    </row>
    <row r="212" spans="1:41" s="146" customFormat="1" ht="30">
      <c r="A212" s="141">
        <f t="shared" si="220"/>
        <v>15</v>
      </c>
      <c r="B212" s="337" t="s">
        <v>422</v>
      </c>
      <c r="C212" s="157" t="s">
        <v>412</v>
      </c>
      <c r="D212" s="157"/>
      <c r="E212" s="141"/>
      <c r="F212" s="158" t="s">
        <v>54</v>
      </c>
      <c r="G212" s="447">
        <f>H212+I212</f>
        <v>250</v>
      </c>
      <c r="H212" s="447">
        <v>238</v>
      </c>
      <c r="I212" s="447">
        <v>12</v>
      </c>
      <c r="J212" s="448">
        <v>0</v>
      </c>
      <c r="K212" s="483">
        <f t="shared" si="215"/>
        <v>0</v>
      </c>
      <c r="L212" s="448"/>
      <c r="M212" s="448"/>
      <c r="N212" s="483"/>
      <c r="O212" s="448"/>
      <c r="P212" s="448"/>
      <c r="Q212" s="466">
        <f t="shared" si="216"/>
        <v>250</v>
      </c>
      <c r="R212" s="448">
        <v>238</v>
      </c>
      <c r="S212" s="448">
        <v>12</v>
      </c>
      <c r="T212" s="448"/>
      <c r="U212" s="448">
        <f>+V212+W212</f>
        <v>0</v>
      </c>
      <c r="V212" s="448">
        <f t="shared" si="223"/>
        <v>0</v>
      </c>
      <c r="W212" s="448">
        <f t="shared" si="223"/>
        <v>0</v>
      </c>
      <c r="X212" s="445">
        <f>Y212+Z212</f>
        <v>0</v>
      </c>
      <c r="Y212" s="448"/>
      <c r="Z212" s="448"/>
      <c r="AA212" s="448"/>
      <c r="AB212" s="483"/>
      <c r="AC212" s="483"/>
      <c r="AD212" s="448"/>
      <c r="AE212" s="483"/>
      <c r="AF212" s="483"/>
      <c r="AG212" s="447">
        <f t="shared" si="224"/>
        <v>250</v>
      </c>
      <c r="AH212" s="447">
        <v>238</v>
      </c>
      <c r="AI212" s="447">
        <v>12</v>
      </c>
      <c r="AJ212" s="448"/>
      <c r="AK212" s="448"/>
      <c r="AL212" s="145"/>
      <c r="AM212" s="369"/>
      <c r="AN212" s="369"/>
      <c r="AO212" s="369"/>
    </row>
    <row r="213" spans="1:41" s="146" customFormat="1" ht="75">
      <c r="A213" s="141">
        <f t="shared" si="220"/>
        <v>16</v>
      </c>
      <c r="B213" s="337" t="s">
        <v>423</v>
      </c>
      <c r="C213" s="157" t="s">
        <v>406</v>
      </c>
      <c r="D213" s="157"/>
      <c r="E213" s="141" t="s">
        <v>94</v>
      </c>
      <c r="F213" s="158" t="s">
        <v>55</v>
      </c>
      <c r="G213" s="447">
        <f>H213+I213</f>
        <v>251</v>
      </c>
      <c r="H213" s="447">
        <v>239</v>
      </c>
      <c r="I213" s="447">
        <v>12</v>
      </c>
      <c r="J213" s="448">
        <v>0</v>
      </c>
      <c r="K213" s="483">
        <f t="shared" si="215"/>
        <v>0</v>
      </c>
      <c r="L213" s="448"/>
      <c r="M213" s="448"/>
      <c r="N213" s="483"/>
      <c r="O213" s="448"/>
      <c r="P213" s="448"/>
      <c r="Q213" s="466">
        <f t="shared" si="216"/>
        <v>251</v>
      </c>
      <c r="R213" s="448">
        <v>239</v>
      </c>
      <c r="S213" s="448">
        <v>12</v>
      </c>
      <c r="T213" s="448"/>
      <c r="U213" s="448">
        <f>+V213+W213</f>
        <v>0</v>
      </c>
      <c r="V213" s="448">
        <f t="shared" si="223"/>
        <v>0</v>
      </c>
      <c r="W213" s="448">
        <f t="shared" si="223"/>
        <v>0</v>
      </c>
      <c r="X213" s="445">
        <f>Y213+Z213</f>
        <v>0</v>
      </c>
      <c r="Y213" s="448"/>
      <c r="Z213" s="448"/>
      <c r="AA213" s="448"/>
      <c r="AB213" s="483"/>
      <c r="AC213" s="483"/>
      <c r="AD213" s="448"/>
      <c r="AE213" s="483"/>
      <c r="AF213" s="483"/>
      <c r="AG213" s="447">
        <f t="shared" si="224"/>
        <v>251</v>
      </c>
      <c r="AH213" s="447">
        <v>239</v>
      </c>
      <c r="AI213" s="447">
        <v>12</v>
      </c>
      <c r="AJ213" s="448"/>
      <c r="AK213" s="448"/>
      <c r="AL213" s="145"/>
      <c r="AM213" s="369"/>
      <c r="AN213" s="369"/>
      <c r="AO213" s="369"/>
    </row>
    <row r="214" spans="1:41" s="146" customFormat="1" ht="45">
      <c r="A214" s="141">
        <f t="shared" si="220"/>
        <v>17</v>
      </c>
      <c r="B214" s="337" t="s">
        <v>429</v>
      </c>
      <c r="C214" s="157" t="s">
        <v>395</v>
      </c>
      <c r="D214" s="157"/>
      <c r="E214" s="141" t="s">
        <v>430</v>
      </c>
      <c r="F214" s="158" t="s">
        <v>55</v>
      </c>
      <c r="G214" s="447">
        <f t="shared" si="188"/>
        <v>200</v>
      </c>
      <c r="H214" s="447">
        <v>190</v>
      </c>
      <c r="I214" s="447">
        <v>10</v>
      </c>
      <c r="J214" s="448">
        <v>0</v>
      </c>
      <c r="K214" s="483">
        <f t="shared" si="215"/>
        <v>0</v>
      </c>
      <c r="L214" s="448"/>
      <c r="M214" s="448"/>
      <c r="N214" s="483"/>
      <c r="O214" s="448"/>
      <c r="P214" s="448"/>
      <c r="Q214" s="466">
        <f t="shared" si="216"/>
        <v>200</v>
      </c>
      <c r="R214" s="448">
        <v>190</v>
      </c>
      <c r="S214" s="448">
        <v>10</v>
      </c>
      <c r="T214" s="448"/>
      <c r="U214" s="448">
        <f t="shared" si="217"/>
        <v>0</v>
      </c>
      <c r="V214" s="448">
        <f t="shared" si="218"/>
        <v>0</v>
      </c>
      <c r="W214" s="448">
        <f t="shared" si="218"/>
        <v>0</v>
      </c>
      <c r="X214" s="445">
        <f t="shared" si="189"/>
        <v>0</v>
      </c>
      <c r="Y214" s="448"/>
      <c r="Z214" s="448"/>
      <c r="AA214" s="448"/>
      <c r="AB214" s="483"/>
      <c r="AC214" s="483"/>
      <c r="AD214" s="448"/>
      <c r="AE214" s="483"/>
      <c r="AF214" s="483"/>
      <c r="AG214" s="447">
        <f t="shared" ref="AG214:AG216" si="225">AH214+AI214</f>
        <v>200</v>
      </c>
      <c r="AH214" s="447">
        <v>190</v>
      </c>
      <c r="AI214" s="447">
        <v>10</v>
      </c>
      <c r="AJ214" s="448"/>
      <c r="AK214" s="448"/>
      <c r="AL214" s="145"/>
      <c r="AM214" s="369"/>
      <c r="AN214" s="369"/>
      <c r="AO214" s="369"/>
    </row>
    <row r="215" spans="1:41" s="146" customFormat="1" ht="75">
      <c r="A215" s="141">
        <f t="shared" si="220"/>
        <v>18</v>
      </c>
      <c r="B215" s="337" t="s">
        <v>431</v>
      </c>
      <c r="C215" s="157" t="s">
        <v>426</v>
      </c>
      <c r="D215" s="157"/>
      <c r="E215" s="141" t="s">
        <v>94</v>
      </c>
      <c r="F215" s="158" t="s">
        <v>55</v>
      </c>
      <c r="G215" s="447">
        <f t="shared" si="188"/>
        <v>251</v>
      </c>
      <c r="H215" s="447">
        <v>239</v>
      </c>
      <c r="I215" s="447">
        <v>12</v>
      </c>
      <c r="J215" s="448">
        <v>0</v>
      </c>
      <c r="K215" s="483">
        <f t="shared" si="215"/>
        <v>0</v>
      </c>
      <c r="L215" s="448"/>
      <c r="M215" s="448"/>
      <c r="N215" s="483"/>
      <c r="O215" s="448"/>
      <c r="P215" s="448"/>
      <c r="Q215" s="466">
        <f t="shared" si="216"/>
        <v>251</v>
      </c>
      <c r="R215" s="448">
        <v>239</v>
      </c>
      <c r="S215" s="448">
        <v>12</v>
      </c>
      <c r="T215" s="448"/>
      <c r="U215" s="448">
        <f t="shared" si="217"/>
        <v>0</v>
      </c>
      <c r="V215" s="448">
        <f t="shared" si="218"/>
        <v>0</v>
      </c>
      <c r="W215" s="448">
        <f t="shared" si="218"/>
        <v>0</v>
      </c>
      <c r="X215" s="445">
        <f t="shared" si="189"/>
        <v>0</v>
      </c>
      <c r="Y215" s="448"/>
      <c r="Z215" s="448"/>
      <c r="AA215" s="448"/>
      <c r="AB215" s="483"/>
      <c r="AC215" s="483"/>
      <c r="AD215" s="448"/>
      <c r="AE215" s="483"/>
      <c r="AF215" s="483"/>
      <c r="AG215" s="447">
        <f t="shared" si="225"/>
        <v>251</v>
      </c>
      <c r="AH215" s="447">
        <v>239</v>
      </c>
      <c r="AI215" s="447">
        <v>12</v>
      </c>
      <c r="AJ215" s="448"/>
      <c r="AK215" s="448"/>
      <c r="AL215" s="145"/>
      <c r="AM215" s="369"/>
      <c r="AN215" s="369"/>
      <c r="AO215" s="369"/>
    </row>
    <row r="216" spans="1:41" s="146" customFormat="1" ht="75">
      <c r="A216" s="141">
        <f t="shared" si="220"/>
        <v>19</v>
      </c>
      <c r="B216" s="337" t="s">
        <v>432</v>
      </c>
      <c r="C216" s="157" t="s">
        <v>428</v>
      </c>
      <c r="D216" s="157"/>
      <c r="E216" s="141" t="s">
        <v>94</v>
      </c>
      <c r="F216" s="158" t="s">
        <v>55</v>
      </c>
      <c r="G216" s="447">
        <f t="shared" si="188"/>
        <v>250.95</v>
      </c>
      <c r="H216" s="447">
        <v>238.95</v>
      </c>
      <c r="I216" s="447">
        <v>12</v>
      </c>
      <c r="J216" s="448">
        <v>0</v>
      </c>
      <c r="K216" s="483">
        <f t="shared" si="215"/>
        <v>0</v>
      </c>
      <c r="L216" s="448"/>
      <c r="M216" s="448"/>
      <c r="N216" s="483"/>
      <c r="O216" s="448"/>
      <c r="P216" s="448"/>
      <c r="Q216" s="466">
        <f t="shared" si="216"/>
        <v>250.95</v>
      </c>
      <c r="R216" s="448">
        <v>238.95</v>
      </c>
      <c r="S216" s="448">
        <v>12</v>
      </c>
      <c r="T216" s="448"/>
      <c r="U216" s="448">
        <f t="shared" si="217"/>
        <v>0</v>
      </c>
      <c r="V216" s="448">
        <f t="shared" si="218"/>
        <v>0</v>
      </c>
      <c r="W216" s="448">
        <f t="shared" si="218"/>
        <v>0</v>
      </c>
      <c r="X216" s="445">
        <f t="shared" si="189"/>
        <v>0</v>
      </c>
      <c r="Y216" s="448"/>
      <c r="Z216" s="448"/>
      <c r="AA216" s="448"/>
      <c r="AB216" s="483"/>
      <c r="AC216" s="483"/>
      <c r="AD216" s="448"/>
      <c r="AE216" s="483"/>
      <c r="AF216" s="483"/>
      <c r="AG216" s="447">
        <f t="shared" si="225"/>
        <v>250.95</v>
      </c>
      <c r="AH216" s="447">
        <v>238.95</v>
      </c>
      <c r="AI216" s="447">
        <v>12</v>
      </c>
      <c r="AJ216" s="448"/>
      <c r="AK216" s="448"/>
      <c r="AL216" s="145"/>
      <c r="AM216" s="369"/>
      <c r="AN216" s="369"/>
      <c r="AO216" s="369"/>
    </row>
    <row r="217" spans="1:41" s="14" customFormat="1" ht="23.25" customHeight="1">
      <c r="A217" s="4" t="s">
        <v>1000</v>
      </c>
      <c r="B217" s="509" t="s">
        <v>434</v>
      </c>
      <c r="C217" s="418"/>
      <c r="D217" s="418"/>
      <c r="E217" s="417">
        <v>0</v>
      </c>
      <c r="F217" s="417"/>
      <c r="G217" s="446">
        <f>SUM(G218:G221)</f>
        <v>1504.2799999999997</v>
      </c>
      <c r="H217" s="446">
        <f>SUM(H218:H221)</f>
        <v>1432.65</v>
      </c>
      <c r="I217" s="446">
        <f>SUM(I218:I221)</f>
        <v>71.63</v>
      </c>
      <c r="J217" s="446">
        <f>SUM(J218:J221)</f>
        <v>0</v>
      </c>
      <c r="K217" s="446">
        <f t="shared" ref="K217:T217" si="226">SUM(K218:K221)</f>
        <v>58.240000000000023</v>
      </c>
      <c r="L217" s="446">
        <f t="shared" si="226"/>
        <v>55.100000000000023</v>
      </c>
      <c r="M217" s="446">
        <f t="shared" si="226"/>
        <v>3.139999999999997</v>
      </c>
      <c r="N217" s="446">
        <f t="shared" si="226"/>
        <v>58.240000000000023</v>
      </c>
      <c r="O217" s="446">
        <f t="shared" si="226"/>
        <v>55.100000000000023</v>
      </c>
      <c r="P217" s="446">
        <f t="shared" si="226"/>
        <v>3.1400000000000006</v>
      </c>
      <c r="Q217" s="446">
        <f t="shared" si="226"/>
        <v>1504.2800000000002</v>
      </c>
      <c r="R217" s="446">
        <f t="shared" si="226"/>
        <v>1432.65</v>
      </c>
      <c r="S217" s="446">
        <f t="shared" si="226"/>
        <v>71.63000000000001</v>
      </c>
      <c r="T217" s="446">
        <f t="shared" si="226"/>
        <v>0</v>
      </c>
      <c r="U217" s="446">
        <f t="shared" ref="U217:AI217" si="227">SUM(U218:U221)</f>
        <v>1004.4000000000001</v>
      </c>
      <c r="V217" s="446">
        <f t="shared" si="227"/>
        <v>952.53</v>
      </c>
      <c r="W217" s="446">
        <f t="shared" si="227"/>
        <v>51.870000000000005</v>
      </c>
      <c r="X217" s="446">
        <f t="shared" si="227"/>
        <v>270.74</v>
      </c>
      <c r="Y217" s="446">
        <f t="shared" si="227"/>
        <v>257.85000000000002</v>
      </c>
      <c r="Z217" s="446">
        <f t="shared" si="227"/>
        <v>12.89</v>
      </c>
      <c r="AA217" s="446">
        <f t="shared" si="227"/>
        <v>364.36</v>
      </c>
      <c r="AB217" s="446">
        <f t="shared" si="227"/>
        <v>345.68</v>
      </c>
      <c r="AC217" s="446">
        <f t="shared" si="227"/>
        <v>18.68</v>
      </c>
      <c r="AD217" s="446">
        <f t="shared" si="227"/>
        <v>369.3</v>
      </c>
      <c r="AE217" s="446">
        <f t="shared" si="227"/>
        <v>349</v>
      </c>
      <c r="AF217" s="446">
        <f t="shared" si="227"/>
        <v>20.3</v>
      </c>
      <c r="AG217" s="446">
        <f t="shared" si="227"/>
        <v>499.88</v>
      </c>
      <c r="AH217" s="446">
        <f t="shared" si="227"/>
        <v>480.12</v>
      </c>
      <c r="AI217" s="446">
        <f t="shared" si="227"/>
        <v>19.760000000000002</v>
      </c>
      <c r="AJ217" s="446"/>
      <c r="AK217" s="446">
        <f>SUM(AK218:AK221)</f>
        <v>0</v>
      </c>
      <c r="AL217" s="16"/>
      <c r="AM217" s="368">
        <f>+'NĂM 2022'!K71+'NĂM 2023'!N86+'NĂM 2024'!J78+'NĂM 2025'!J75</f>
        <v>1504.28</v>
      </c>
      <c r="AN217" s="368">
        <f>+'NĂM 2022'!L71+'NĂM 2023'!O86+'NĂM 2024'!K78+'NĂM 2025'!K75</f>
        <v>1432.65</v>
      </c>
      <c r="AO217" s="368">
        <f>+'NĂM 2022'!M71+'NĂM 2023'!P86+'NĂM 2024'!L78+'NĂM 2025'!L75</f>
        <v>71.63</v>
      </c>
    </row>
    <row r="218" spans="1:41" ht="75">
      <c r="A218" s="8">
        <v>1</v>
      </c>
      <c r="B218" s="328" t="s">
        <v>435</v>
      </c>
      <c r="C218" s="8" t="s">
        <v>436</v>
      </c>
      <c r="D218" s="8"/>
      <c r="E218" s="8" t="s">
        <v>437</v>
      </c>
      <c r="F218" s="27" t="s">
        <v>52</v>
      </c>
      <c r="G218" s="445">
        <f t="shared" si="188"/>
        <v>270.74</v>
      </c>
      <c r="H218" s="445">
        <v>257.85000000000002</v>
      </c>
      <c r="I218" s="445">
        <v>12.89</v>
      </c>
      <c r="J218" s="451">
        <v>0</v>
      </c>
      <c r="K218" s="483">
        <f>+G218-Q218</f>
        <v>0</v>
      </c>
      <c r="L218" s="451"/>
      <c r="M218" s="451"/>
      <c r="N218" s="483"/>
      <c r="O218" s="451"/>
      <c r="P218" s="451"/>
      <c r="Q218" s="466">
        <f>+R218+S218</f>
        <v>270.74</v>
      </c>
      <c r="R218" s="451">
        <v>257.85000000000002</v>
      </c>
      <c r="S218" s="451">
        <v>12.89</v>
      </c>
      <c r="T218" s="451"/>
      <c r="U218" s="451">
        <f>+V218+W218</f>
        <v>270.74</v>
      </c>
      <c r="V218" s="451">
        <f>+Y218+AB218+AE218</f>
        <v>257.85000000000002</v>
      </c>
      <c r="W218" s="451">
        <f>+Z218+AC218+AF218</f>
        <v>12.89</v>
      </c>
      <c r="X218" s="445">
        <f t="shared" si="189"/>
        <v>270.74</v>
      </c>
      <c r="Y218" s="445">
        <v>257.85000000000002</v>
      </c>
      <c r="Z218" s="445">
        <v>12.89</v>
      </c>
      <c r="AA218" s="445"/>
      <c r="AB218" s="481"/>
      <c r="AC218" s="481"/>
      <c r="AD218" s="445"/>
      <c r="AE218" s="481"/>
      <c r="AF218" s="481"/>
      <c r="AG218" s="445"/>
      <c r="AH218" s="481"/>
      <c r="AI218" s="481"/>
      <c r="AJ218" s="445"/>
      <c r="AK218" s="451"/>
      <c r="AL218" s="15"/>
      <c r="AM218" s="506">
        <f>+G217-U217</f>
        <v>499.87999999999965</v>
      </c>
      <c r="AN218" s="506">
        <f>+H217-V217</f>
        <v>480.12000000000012</v>
      </c>
      <c r="AO218" s="506">
        <f>+I217-W217</f>
        <v>19.759999999999991</v>
      </c>
    </row>
    <row r="219" spans="1:41" ht="75">
      <c r="A219" s="8">
        <f>+A218+1</f>
        <v>2</v>
      </c>
      <c r="B219" s="328" t="s">
        <v>435</v>
      </c>
      <c r="C219" s="8" t="s">
        <v>436</v>
      </c>
      <c r="D219" s="8"/>
      <c r="E219" s="8" t="s">
        <v>437</v>
      </c>
      <c r="F219" s="8" t="s">
        <v>53</v>
      </c>
      <c r="G219" s="445">
        <f t="shared" si="188"/>
        <v>328.34</v>
      </c>
      <c r="H219" s="445">
        <v>312.7</v>
      </c>
      <c r="I219" s="445">
        <v>15.64</v>
      </c>
      <c r="J219" s="451">
        <v>0</v>
      </c>
      <c r="K219" s="483"/>
      <c r="L219" s="451"/>
      <c r="M219" s="451"/>
      <c r="N219" s="483">
        <f>+O219+P219</f>
        <v>36.020000000000017</v>
      </c>
      <c r="O219" s="451">
        <f>+R219-H219</f>
        <v>32.980000000000018</v>
      </c>
      <c r="P219" s="451">
        <f>+S219-I219</f>
        <v>3.0399999999999991</v>
      </c>
      <c r="Q219" s="466">
        <f t="shared" ref="Q219:Q220" si="228">+R219+S219</f>
        <v>364.36</v>
      </c>
      <c r="R219" s="451">
        <v>345.68</v>
      </c>
      <c r="S219" s="451">
        <v>18.68</v>
      </c>
      <c r="T219" s="451"/>
      <c r="U219" s="451">
        <f t="shared" ref="U219:U221" si="229">+V219+W219</f>
        <v>364.36</v>
      </c>
      <c r="V219" s="451">
        <f t="shared" ref="V219:W221" si="230">+Y219+AB219+AE219</f>
        <v>345.68</v>
      </c>
      <c r="W219" s="451">
        <f t="shared" si="230"/>
        <v>18.68</v>
      </c>
      <c r="X219" s="445">
        <f t="shared" si="189"/>
        <v>0</v>
      </c>
      <c r="Y219" s="451"/>
      <c r="Z219" s="451"/>
      <c r="AA219" s="451">
        <f>+AB219+AC219</f>
        <v>364.36</v>
      </c>
      <c r="AB219" s="483">
        <v>345.68</v>
      </c>
      <c r="AC219" s="483">
        <v>18.68</v>
      </c>
      <c r="AD219" s="451"/>
      <c r="AE219" s="483"/>
      <c r="AF219" s="483"/>
      <c r="AG219" s="451"/>
      <c r="AH219" s="483"/>
      <c r="AI219" s="483"/>
      <c r="AJ219" s="451"/>
      <c r="AK219" s="451"/>
      <c r="AL219" s="15"/>
      <c r="AM219" s="506">
        <f>+AM218-AG217</f>
        <v>0</v>
      </c>
      <c r="AN219" s="506">
        <f t="shared" ref="AN219:AO219" si="231">+AN218-AH217</f>
        <v>0</v>
      </c>
      <c r="AO219" s="506">
        <f t="shared" si="231"/>
        <v>0</v>
      </c>
    </row>
    <row r="220" spans="1:41" ht="30">
      <c r="A220" s="8">
        <f t="shared" ref="A220:A221" si="232">+A219+1</f>
        <v>3</v>
      </c>
      <c r="B220" s="328" t="s">
        <v>440</v>
      </c>
      <c r="C220" s="8" t="s">
        <v>436</v>
      </c>
      <c r="D220" s="8"/>
      <c r="E220" s="8" t="s">
        <v>441</v>
      </c>
      <c r="F220" s="8" t="s">
        <v>55</v>
      </c>
      <c r="G220" s="445">
        <f>H220+I220</f>
        <v>424.3</v>
      </c>
      <c r="H220" s="445">
        <v>404.1</v>
      </c>
      <c r="I220" s="445">
        <v>20.2</v>
      </c>
      <c r="J220" s="451">
        <v>0</v>
      </c>
      <c r="K220" s="483">
        <f>+L220+M220</f>
        <v>55.100000000000023</v>
      </c>
      <c r="L220" s="451">
        <f>+H220-R220</f>
        <v>55.100000000000023</v>
      </c>
      <c r="M220" s="451"/>
      <c r="N220" s="483">
        <f>+O220+P220</f>
        <v>0.10000000000000142</v>
      </c>
      <c r="O220" s="451"/>
      <c r="P220" s="451">
        <f>+S220-I220</f>
        <v>0.10000000000000142</v>
      </c>
      <c r="Q220" s="466">
        <f t="shared" si="228"/>
        <v>369.3</v>
      </c>
      <c r="R220" s="451">
        <v>349</v>
      </c>
      <c r="S220" s="451">
        <v>20.3</v>
      </c>
      <c r="T220" s="451"/>
      <c r="U220" s="451">
        <f>+V220+W220</f>
        <v>369.3</v>
      </c>
      <c r="V220" s="451">
        <f>+Y220+AB220+AE220</f>
        <v>349</v>
      </c>
      <c r="W220" s="451">
        <f>+Z220+AC220+AF220</f>
        <v>20.3</v>
      </c>
      <c r="X220" s="445">
        <f>Y220+Z220</f>
        <v>0</v>
      </c>
      <c r="Y220" s="451"/>
      <c r="Z220" s="451"/>
      <c r="AA220" s="451"/>
      <c r="AB220" s="483"/>
      <c r="AC220" s="483"/>
      <c r="AD220" s="451">
        <f>+AE220+AF220</f>
        <v>369.3</v>
      </c>
      <c r="AE220" s="483">
        <v>349</v>
      </c>
      <c r="AF220" s="483">
        <v>20.3</v>
      </c>
      <c r="AG220" s="451"/>
      <c r="AH220" s="483"/>
      <c r="AI220" s="483"/>
      <c r="AJ220" s="451"/>
      <c r="AK220" s="451"/>
      <c r="AL220" s="15"/>
      <c r="AM220" s="506"/>
      <c r="AN220" s="506"/>
      <c r="AO220" s="506"/>
    </row>
    <row r="221" spans="1:41" ht="45">
      <c r="A221" s="8">
        <f t="shared" si="232"/>
        <v>4</v>
      </c>
      <c r="B221" s="340" t="s">
        <v>438</v>
      </c>
      <c r="C221" s="8" t="s">
        <v>436</v>
      </c>
      <c r="D221" s="8"/>
      <c r="E221" s="8" t="s">
        <v>439</v>
      </c>
      <c r="F221" s="8" t="s">
        <v>54</v>
      </c>
      <c r="G221" s="445">
        <f t="shared" si="188"/>
        <v>480.9</v>
      </c>
      <c r="H221" s="445">
        <v>458</v>
      </c>
      <c r="I221" s="445">
        <v>22.9</v>
      </c>
      <c r="J221" s="451">
        <v>0</v>
      </c>
      <c r="K221" s="483">
        <f>+L221+M221</f>
        <v>3.139999999999997</v>
      </c>
      <c r="L221" s="451"/>
      <c r="M221" s="451">
        <f>+I221-S221</f>
        <v>3.139999999999997</v>
      </c>
      <c r="N221" s="483">
        <f>+O221+P221</f>
        <v>22.120000000000005</v>
      </c>
      <c r="O221" s="451">
        <f>+R221-H221</f>
        <v>22.120000000000005</v>
      </c>
      <c r="P221" s="451"/>
      <c r="Q221" s="451">
        <f>+R221+S221</f>
        <v>499.88</v>
      </c>
      <c r="R221" s="483">
        <v>480.12</v>
      </c>
      <c r="S221" s="483">
        <v>19.760000000000002</v>
      </c>
      <c r="T221" s="451"/>
      <c r="U221" s="451">
        <f t="shared" si="229"/>
        <v>0</v>
      </c>
      <c r="V221" s="451">
        <f t="shared" si="230"/>
        <v>0</v>
      </c>
      <c r="W221" s="451">
        <f t="shared" si="230"/>
        <v>0</v>
      </c>
      <c r="X221" s="445">
        <f t="shared" si="189"/>
        <v>0</v>
      </c>
      <c r="Y221" s="451"/>
      <c r="Z221" s="451"/>
      <c r="AA221" s="451"/>
      <c r="AB221" s="483"/>
      <c r="AC221" s="483"/>
      <c r="AD221" s="451"/>
      <c r="AE221" s="483"/>
      <c r="AF221" s="483"/>
      <c r="AG221" s="451">
        <f>+AH221+AI221</f>
        <v>499.88</v>
      </c>
      <c r="AH221" s="483">
        <v>480.12</v>
      </c>
      <c r="AI221" s="483">
        <v>19.760000000000002</v>
      </c>
      <c r="AJ221" s="451"/>
      <c r="AK221" s="451"/>
      <c r="AL221" s="15"/>
      <c r="AM221" s="506"/>
      <c r="AN221" s="506"/>
      <c r="AO221" s="506"/>
    </row>
    <row r="222" spans="1:41" s="14" customFormat="1" ht="23.25" customHeight="1">
      <c r="A222" s="4" t="s">
        <v>1001</v>
      </c>
      <c r="B222" s="507" t="s">
        <v>443</v>
      </c>
      <c r="C222" s="4"/>
      <c r="D222" s="4"/>
      <c r="E222" s="417">
        <v>0</v>
      </c>
      <c r="F222" s="417"/>
      <c r="G222" s="446">
        <f>SUM(G223:G236)</f>
        <v>10094.74</v>
      </c>
      <c r="H222" s="446">
        <f t="shared" ref="H222:T222" si="233">SUM(H223:H236)</f>
        <v>9614.0400000000009</v>
      </c>
      <c r="I222" s="446">
        <f t="shared" si="233"/>
        <v>480.7</v>
      </c>
      <c r="J222" s="446">
        <f t="shared" si="233"/>
        <v>0</v>
      </c>
      <c r="K222" s="446">
        <f t="shared" si="233"/>
        <v>651.41000000000008</v>
      </c>
      <c r="L222" s="446">
        <f t="shared" si="233"/>
        <v>609.74000000000012</v>
      </c>
      <c r="M222" s="446">
        <f t="shared" si="233"/>
        <v>41.669999999999995</v>
      </c>
      <c r="N222" s="446">
        <f t="shared" si="233"/>
        <v>651.4100000000002</v>
      </c>
      <c r="O222" s="446">
        <f t="shared" si="233"/>
        <v>609.74000000000012</v>
      </c>
      <c r="P222" s="446">
        <f t="shared" si="233"/>
        <v>41.670000000000016</v>
      </c>
      <c r="Q222" s="446">
        <f t="shared" si="233"/>
        <v>10094.74</v>
      </c>
      <c r="R222" s="446">
        <f t="shared" si="233"/>
        <v>9614.0400000000009</v>
      </c>
      <c r="S222" s="446">
        <f t="shared" si="233"/>
        <v>480.7</v>
      </c>
      <c r="T222" s="446">
        <f t="shared" si="233"/>
        <v>0</v>
      </c>
      <c r="U222" s="446">
        <f t="shared" ref="U222:AF222" si="234">SUM(U223:U235)</f>
        <v>6739.96</v>
      </c>
      <c r="V222" s="446">
        <f t="shared" si="234"/>
        <v>6392</v>
      </c>
      <c r="W222" s="446">
        <f t="shared" si="234"/>
        <v>347.96</v>
      </c>
      <c r="X222" s="446">
        <f t="shared" si="234"/>
        <v>1816.87</v>
      </c>
      <c r="Y222" s="446">
        <f t="shared" si="234"/>
        <v>1730.35</v>
      </c>
      <c r="Z222" s="446">
        <f t="shared" si="234"/>
        <v>86.52</v>
      </c>
      <c r="AA222" s="446">
        <f t="shared" si="234"/>
        <v>2444.9899999999998</v>
      </c>
      <c r="AB222" s="446">
        <f t="shared" si="234"/>
        <v>2319.75</v>
      </c>
      <c r="AC222" s="446">
        <f t="shared" si="234"/>
        <v>125.24000000000001</v>
      </c>
      <c r="AD222" s="446">
        <f t="shared" si="234"/>
        <v>2478.1000000000004</v>
      </c>
      <c r="AE222" s="446">
        <f t="shared" si="234"/>
        <v>2341.8999999999996</v>
      </c>
      <c r="AF222" s="446">
        <f t="shared" si="234"/>
        <v>136.19999999999999</v>
      </c>
      <c r="AG222" s="446">
        <f>SUM(AG223:AG236)</f>
        <v>3354.78</v>
      </c>
      <c r="AH222" s="446">
        <f>SUM(AH223:AH236)</f>
        <v>3222.04</v>
      </c>
      <c r="AI222" s="446">
        <f>SUM(AI223:AI236)</f>
        <v>132.73999999999998</v>
      </c>
      <c r="AJ222" s="446"/>
      <c r="AK222" s="446">
        <f>SUM(AK223:AK235)</f>
        <v>0</v>
      </c>
      <c r="AL222" s="16"/>
      <c r="AM222" s="368">
        <f>+'NĂM 2022'!K73+'NĂM 2023'!N88+'NĂM 2024'!J80+'NĂM 2025'!J77</f>
        <v>10094.74</v>
      </c>
      <c r="AN222" s="368">
        <f>+'NĂM 2022'!L73+'NĂM 2023'!O88+'NĂM 2024'!K80+'NĂM 2025'!K77</f>
        <v>9614.0400000000009</v>
      </c>
      <c r="AO222" s="368">
        <f>+'NĂM 2022'!M73+'NĂM 2023'!P88+'NĂM 2024'!L80+'NĂM 2025'!L77</f>
        <v>480.7</v>
      </c>
    </row>
    <row r="223" spans="1:41" ht="60">
      <c r="A223" s="8">
        <v>1</v>
      </c>
      <c r="B223" s="328" t="s">
        <v>444</v>
      </c>
      <c r="C223" s="8" t="s">
        <v>445</v>
      </c>
      <c r="D223" s="8"/>
      <c r="E223" s="22" t="s">
        <v>446</v>
      </c>
      <c r="F223" s="8" t="s">
        <v>52</v>
      </c>
      <c r="G223" s="445">
        <f t="shared" si="188"/>
        <v>1396.87</v>
      </c>
      <c r="H223" s="445">
        <v>1330.35</v>
      </c>
      <c r="I223" s="445">
        <v>66.52</v>
      </c>
      <c r="J223" s="451">
        <v>0</v>
      </c>
      <c r="K223" s="483">
        <f>+G223-Q223</f>
        <v>0</v>
      </c>
      <c r="L223" s="451"/>
      <c r="M223" s="451"/>
      <c r="N223" s="483"/>
      <c r="O223" s="451"/>
      <c r="P223" s="451"/>
      <c r="Q223" s="466">
        <f>+R223+S223</f>
        <v>1396.87</v>
      </c>
      <c r="R223" s="451">
        <v>1330.35</v>
      </c>
      <c r="S223" s="451">
        <v>66.52</v>
      </c>
      <c r="T223" s="451"/>
      <c r="U223" s="451">
        <f>+V223+W223</f>
        <v>1396.87</v>
      </c>
      <c r="V223" s="451">
        <f>+Y223+AB223+AE223</f>
        <v>1330.35</v>
      </c>
      <c r="W223" s="451">
        <f>+Z223+AC223+AF223</f>
        <v>66.52</v>
      </c>
      <c r="X223" s="445">
        <f t="shared" si="189"/>
        <v>1396.87</v>
      </c>
      <c r="Y223" s="445">
        <v>1330.35</v>
      </c>
      <c r="Z223" s="445">
        <v>66.52</v>
      </c>
      <c r="AA223" s="445"/>
      <c r="AB223" s="481"/>
      <c r="AC223" s="481"/>
      <c r="AD223" s="445"/>
      <c r="AE223" s="481"/>
      <c r="AF223" s="481"/>
      <c r="AG223" s="445"/>
      <c r="AH223" s="481"/>
      <c r="AI223" s="481"/>
      <c r="AJ223" s="445"/>
      <c r="AK223" s="451"/>
      <c r="AL223" s="15"/>
      <c r="AM223" s="506">
        <f>+G222-U222</f>
        <v>3354.7799999999997</v>
      </c>
      <c r="AN223" s="506">
        <f>+H222-V222</f>
        <v>3222.0400000000009</v>
      </c>
      <c r="AO223" s="506">
        <f>+I222-W222</f>
        <v>132.74</v>
      </c>
    </row>
    <row r="224" spans="1:41" ht="75">
      <c r="A224" s="8">
        <f>+A223+1</f>
        <v>2</v>
      </c>
      <c r="B224" s="328" t="s">
        <v>447</v>
      </c>
      <c r="C224" s="8" t="s">
        <v>445</v>
      </c>
      <c r="D224" s="8"/>
      <c r="E224" s="8" t="s">
        <v>94</v>
      </c>
      <c r="F224" s="8" t="s">
        <v>52</v>
      </c>
      <c r="G224" s="445">
        <f t="shared" si="188"/>
        <v>420</v>
      </c>
      <c r="H224" s="445">
        <v>400</v>
      </c>
      <c r="I224" s="445">
        <v>20</v>
      </c>
      <c r="J224" s="451">
        <v>0</v>
      </c>
      <c r="K224" s="483">
        <f t="shared" ref="K224" si="235">+G224-Q224</f>
        <v>0</v>
      </c>
      <c r="L224" s="451"/>
      <c r="M224" s="451"/>
      <c r="N224" s="483"/>
      <c r="O224" s="451"/>
      <c r="P224" s="451"/>
      <c r="Q224" s="466">
        <f t="shared" ref="Q224:Q229" si="236">+R224+S224</f>
        <v>420</v>
      </c>
      <c r="R224" s="451">
        <v>400</v>
      </c>
      <c r="S224" s="451">
        <v>20</v>
      </c>
      <c r="T224" s="451"/>
      <c r="U224" s="451">
        <f t="shared" ref="U224:U235" si="237">+V224+W224</f>
        <v>420</v>
      </c>
      <c r="V224" s="451">
        <f t="shared" ref="V224:W235" si="238">+Y224+AB224+AE224</f>
        <v>400</v>
      </c>
      <c r="W224" s="451">
        <f t="shared" si="238"/>
        <v>20</v>
      </c>
      <c r="X224" s="445">
        <f t="shared" si="189"/>
        <v>420</v>
      </c>
      <c r="Y224" s="445">
        <v>400</v>
      </c>
      <c r="Z224" s="445">
        <v>20</v>
      </c>
      <c r="AA224" s="445"/>
      <c r="AB224" s="481"/>
      <c r="AC224" s="481"/>
      <c r="AD224" s="445"/>
      <c r="AE224" s="481"/>
      <c r="AF224" s="481"/>
      <c r="AG224" s="445"/>
      <c r="AH224" s="481"/>
      <c r="AI224" s="481"/>
      <c r="AJ224" s="445"/>
      <c r="AK224" s="451"/>
      <c r="AL224" s="15"/>
      <c r="AM224" s="365">
        <f>+AM223-AG222</f>
        <v>0</v>
      </c>
      <c r="AN224" s="365">
        <f t="shared" ref="AN224:AO224" si="239">+AN223-AH222</f>
        <v>0</v>
      </c>
      <c r="AO224" s="365">
        <f t="shared" si="239"/>
        <v>0</v>
      </c>
    </row>
    <row r="225" spans="1:41" ht="60">
      <c r="A225" s="8">
        <f t="shared" ref="A225:A236" si="240">+A224+1</f>
        <v>3</v>
      </c>
      <c r="B225" s="341" t="s">
        <v>448</v>
      </c>
      <c r="C225" s="8" t="s">
        <v>449</v>
      </c>
      <c r="D225" s="8"/>
      <c r="E225" s="22" t="s">
        <v>450</v>
      </c>
      <c r="F225" s="8" t="s">
        <v>53</v>
      </c>
      <c r="G225" s="445">
        <f t="shared" si="188"/>
        <v>1365</v>
      </c>
      <c r="H225" s="445">
        <v>1300</v>
      </c>
      <c r="I225" s="445">
        <v>65</v>
      </c>
      <c r="J225" s="451"/>
      <c r="K225" s="483">
        <f>+L225+M225</f>
        <v>63.799999999999955</v>
      </c>
      <c r="L225" s="451">
        <f>+H225-R225</f>
        <v>63.799999999999955</v>
      </c>
      <c r="M225" s="451"/>
      <c r="N225" s="483">
        <f>+O225+P225</f>
        <v>6.9000000000000057</v>
      </c>
      <c r="O225" s="451"/>
      <c r="P225" s="451">
        <f>+S225-I225</f>
        <v>6.9000000000000057</v>
      </c>
      <c r="Q225" s="466">
        <f t="shared" si="236"/>
        <v>1308.1000000000001</v>
      </c>
      <c r="R225" s="451">
        <v>1236.2</v>
      </c>
      <c r="S225" s="451">
        <v>71.900000000000006</v>
      </c>
      <c r="T225" s="451"/>
      <c r="U225" s="451">
        <f t="shared" si="237"/>
        <v>1308.1000000000001</v>
      </c>
      <c r="V225" s="451">
        <f t="shared" si="238"/>
        <v>1236.2</v>
      </c>
      <c r="W225" s="451">
        <f t="shared" si="238"/>
        <v>71.900000000000006</v>
      </c>
      <c r="X225" s="445">
        <f t="shared" si="189"/>
        <v>0</v>
      </c>
      <c r="Y225" s="451"/>
      <c r="Z225" s="451"/>
      <c r="AA225" s="451"/>
      <c r="AB225" s="483"/>
      <c r="AC225" s="483"/>
      <c r="AD225" s="451">
        <f>+AE225+AF225</f>
        <v>1308.1000000000001</v>
      </c>
      <c r="AE225" s="483">
        <v>1236.2</v>
      </c>
      <c r="AF225" s="483">
        <v>71.900000000000006</v>
      </c>
      <c r="AG225" s="451"/>
      <c r="AH225" s="483"/>
      <c r="AI225" s="483"/>
      <c r="AJ225" s="451"/>
      <c r="AK225" s="451"/>
      <c r="AL225" s="15"/>
      <c r="AM225" s="506"/>
    </row>
    <row r="226" spans="1:41" ht="75">
      <c r="A226" s="8">
        <f t="shared" si="240"/>
        <v>4</v>
      </c>
      <c r="B226" s="328" t="s">
        <v>451</v>
      </c>
      <c r="C226" s="8" t="s">
        <v>452</v>
      </c>
      <c r="D226" s="8"/>
      <c r="E226" s="8" t="s">
        <v>94</v>
      </c>
      <c r="F226" s="8" t="s">
        <v>53</v>
      </c>
      <c r="G226" s="445">
        <f t="shared" si="188"/>
        <v>420</v>
      </c>
      <c r="H226" s="445">
        <v>400</v>
      </c>
      <c r="I226" s="445">
        <v>20</v>
      </c>
      <c r="J226" s="451">
        <v>0</v>
      </c>
      <c r="K226" s="483">
        <f>+L226+M226</f>
        <v>20.25</v>
      </c>
      <c r="L226" s="451">
        <f t="shared" ref="L226:L231" si="241">+H226-R226</f>
        <v>20.25</v>
      </c>
      <c r="M226" s="451"/>
      <c r="N226" s="483">
        <f>+O226+P226</f>
        <v>0.5</v>
      </c>
      <c r="O226" s="451"/>
      <c r="P226" s="451">
        <f>+S226-I226</f>
        <v>0.5</v>
      </c>
      <c r="Q226" s="466">
        <f t="shared" si="236"/>
        <v>400.25</v>
      </c>
      <c r="R226" s="451">
        <v>379.75</v>
      </c>
      <c r="S226" s="451">
        <v>20.5</v>
      </c>
      <c r="T226" s="451"/>
      <c r="U226" s="451">
        <f t="shared" si="237"/>
        <v>400.25</v>
      </c>
      <c r="V226" s="451">
        <f t="shared" si="238"/>
        <v>379.75</v>
      </c>
      <c r="W226" s="451">
        <f t="shared" si="238"/>
        <v>20.5</v>
      </c>
      <c r="X226" s="445">
        <f t="shared" si="189"/>
        <v>0</v>
      </c>
      <c r="Y226" s="451"/>
      <c r="Z226" s="451"/>
      <c r="AA226" s="451">
        <f>+AB226+AC226</f>
        <v>400.25</v>
      </c>
      <c r="AB226" s="483">
        <v>379.75</v>
      </c>
      <c r="AC226" s="483">
        <v>20.5</v>
      </c>
      <c r="AD226" s="451"/>
      <c r="AE226" s="483"/>
      <c r="AF226" s="483"/>
      <c r="AG226" s="451"/>
      <c r="AH226" s="483"/>
      <c r="AI226" s="483"/>
      <c r="AJ226" s="451"/>
      <c r="AK226" s="451"/>
      <c r="AL226" s="15"/>
    </row>
    <row r="227" spans="1:41" ht="60">
      <c r="A227" s="8">
        <f t="shared" si="240"/>
        <v>5</v>
      </c>
      <c r="B227" s="341" t="s">
        <v>453</v>
      </c>
      <c r="C227" s="8" t="s">
        <v>454</v>
      </c>
      <c r="D227" s="8"/>
      <c r="E227" s="22" t="s">
        <v>455</v>
      </c>
      <c r="F227" s="8" t="s">
        <v>53</v>
      </c>
      <c r="G227" s="445">
        <f t="shared" si="188"/>
        <v>1050</v>
      </c>
      <c r="H227" s="445">
        <v>1000</v>
      </c>
      <c r="I227" s="445">
        <v>50</v>
      </c>
      <c r="J227" s="451">
        <v>0</v>
      </c>
      <c r="K227" s="483">
        <f>+L227+M227</f>
        <v>333.3</v>
      </c>
      <c r="L227" s="451">
        <f t="shared" si="241"/>
        <v>320</v>
      </c>
      <c r="M227" s="451">
        <f t="shared" ref="M227:M234" si="242">+I227-S227</f>
        <v>13.299999999999997</v>
      </c>
      <c r="N227" s="483"/>
      <c r="O227" s="451"/>
      <c r="P227" s="451"/>
      <c r="Q227" s="466">
        <f t="shared" si="236"/>
        <v>716.7</v>
      </c>
      <c r="R227" s="451">
        <v>680</v>
      </c>
      <c r="S227" s="451">
        <v>36.700000000000003</v>
      </c>
      <c r="T227" s="451"/>
      <c r="U227" s="451">
        <f t="shared" si="237"/>
        <v>716.7</v>
      </c>
      <c r="V227" s="451">
        <f t="shared" si="238"/>
        <v>680</v>
      </c>
      <c r="W227" s="451">
        <f t="shared" si="238"/>
        <v>36.700000000000003</v>
      </c>
      <c r="X227" s="445">
        <f t="shared" si="189"/>
        <v>0</v>
      </c>
      <c r="Y227" s="451"/>
      <c r="Z227" s="451"/>
      <c r="AA227" s="451">
        <f>+AB227+AC227</f>
        <v>716.7</v>
      </c>
      <c r="AB227" s="483">
        <v>680</v>
      </c>
      <c r="AC227" s="483">
        <v>36.700000000000003</v>
      </c>
      <c r="AD227" s="451"/>
      <c r="AE227" s="483"/>
      <c r="AF227" s="483"/>
      <c r="AG227" s="451"/>
      <c r="AH227" s="483"/>
      <c r="AI227" s="483"/>
      <c r="AJ227" s="451"/>
      <c r="AK227" s="451"/>
      <c r="AL227" s="15"/>
    </row>
    <row r="228" spans="1:41" ht="75">
      <c r="A228" s="8">
        <f t="shared" si="240"/>
        <v>6</v>
      </c>
      <c r="B228" s="328" t="s">
        <v>456</v>
      </c>
      <c r="C228" s="8" t="s">
        <v>454</v>
      </c>
      <c r="D228" s="8"/>
      <c r="E228" s="8" t="s">
        <v>94</v>
      </c>
      <c r="F228" s="8" t="s">
        <v>54</v>
      </c>
      <c r="G228" s="445">
        <f t="shared" si="188"/>
        <v>420</v>
      </c>
      <c r="H228" s="445">
        <v>400</v>
      </c>
      <c r="I228" s="445">
        <v>20</v>
      </c>
      <c r="J228" s="451">
        <v>0</v>
      </c>
      <c r="K228" s="483">
        <f>+L228+M228</f>
        <v>3.1000000000000227</v>
      </c>
      <c r="L228" s="451">
        <f t="shared" si="241"/>
        <v>3.1000000000000227</v>
      </c>
      <c r="M228" s="451"/>
      <c r="N228" s="483">
        <f>+O228+P228</f>
        <v>3.1000000000000014</v>
      </c>
      <c r="O228" s="451"/>
      <c r="P228" s="451">
        <f>+S228-I228</f>
        <v>3.1000000000000014</v>
      </c>
      <c r="Q228" s="466">
        <f t="shared" si="236"/>
        <v>420</v>
      </c>
      <c r="R228" s="451">
        <v>396.9</v>
      </c>
      <c r="S228" s="451">
        <v>23.1</v>
      </c>
      <c r="T228" s="451"/>
      <c r="U228" s="451">
        <f t="shared" si="237"/>
        <v>420</v>
      </c>
      <c r="V228" s="451">
        <f t="shared" si="238"/>
        <v>396.9</v>
      </c>
      <c r="W228" s="451">
        <f t="shared" si="238"/>
        <v>23.1</v>
      </c>
      <c r="X228" s="445">
        <f t="shared" si="189"/>
        <v>0</v>
      </c>
      <c r="Y228" s="451"/>
      <c r="Z228" s="451"/>
      <c r="AA228" s="451"/>
      <c r="AB228" s="483"/>
      <c r="AC228" s="483"/>
      <c r="AD228" s="451">
        <f>+AE228+AF228</f>
        <v>420</v>
      </c>
      <c r="AE228" s="483">
        <v>396.9</v>
      </c>
      <c r="AF228" s="483">
        <v>23.1</v>
      </c>
      <c r="AG228" s="451"/>
      <c r="AH228" s="483"/>
      <c r="AI228" s="483"/>
      <c r="AJ228" s="451"/>
      <c r="AK228" s="451"/>
      <c r="AL228" s="15"/>
    </row>
    <row r="229" spans="1:41" ht="60">
      <c r="A229" s="8">
        <f t="shared" si="240"/>
        <v>7</v>
      </c>
      <c r="B229" s="341" t="s">
        <v>457</v>
      </c>
      <c r="C229" s="8" t="s">
        <v>449</v>
      </c>
      <c r="D229" s="8"/>
      <c r="E229" s="22" t="s">
        <v>458</v>
      </c>
      <c r="F229" s="8" t="s">
        <v>54</v>
      </c>
      <c r="G229" s="445">
        <f t="shared" si="188"/>
        <v>1155</v>
      </c>
      <c r="H229" s="445">
        <v>1100</v>
      </c>
      <c r="I229" s="445">
        <v>55</v>
      </c>
      <c r="J229" s="451">
        <v>0</v>
      </c>
      <c r="K229" s="483"/>
      <c r="L229" s="451"/>
      <c r="M229" s="451"/>
      <c r="N229" s="483">
        <f>+O229+P229</f>
        <v>173.04000000000002</v>
      </c>
      <c r="O229" s="451">
        <f>+R229-H229</f>
        <v>160</v>
      </c>
      <c r="P229" s="451">
        <f>+S229-I229</f>
        <v>13.040000000000006</v>
      </c>
      <c r="Q229" s="466">
        <f t="shared" si="236"/>
        <v>1328.04</v>
      </c>
      <c r="R229" s="451">
        <v>1260</v>
      </c>
      <c r="S229" s="451">
        <v>68.040000000000006</v>
      </c>
      <c r="T229" s="451"/>
      <c r="U229" s="451">
        <f t="shared" si="237"/>
        <v>1328.04</v>
      </c>
      <c r="V229" s="451">
        <f t="shared" si="238"/>
        <v>1260</v>
      </c>
      <c r="W229" s="451">
        <f t="shared" si="238"/>
        <v>68.040000000000006</v>
      </c>
      <c r="X229" s="445">
        <f t="shared" si="189"/>
        <v>0</v>
      </c>
      <c r="Y229" s="451"/>
      <c r="Z229" s="451"/>
      <c r="AA229" s="451">
        <f>+AB229+AC229</f>
        <v>1328.04</v>
      </c>
      <c r="AB229" s="483">
        <v>1260</v>
      </c>
      <c r="AC229" s="483">
        <v>68.040000000000006</v>
      </c>
      <c r="AD229" s="451"/>
      <c r="AE229" s="483"/>
      <c r="AF229" s="483"/>
      <c r="AG229" s="451"/>
      <c r="AH229" s="483"/>
      <c r="AI229" s="483"/>
      <c r="AJ229" s="451"/>
      <c r="AK229" s="451"/>
      <c r="AL229" s="15"/>
    </row>
    <row r="230" spans="1:41" ht="60">
      <c r="A230" s="8">
        <f>+A232+1</f>
        <v>10</v>
      </c>
      <c r="B230" s="328" t="s">
        <v>464</v>
      </c>
      <c r="C230" s="8" t="s">
        <v>463</v>
      </c>
      <c r="D230" s="8"/>
      <c r="E230" s="22" t="s">
        <v>461</v>
      </c>
      <c r="F230" s="8" t="s">
        <v>55</v>
      </c>
      <c r="G230" s="445">
        <f t="shared" ref="G230:G235" si="243">H230+I230</f>
        <v>822.87</v>
      </c>
      <c r="H230" s="445">
        <v>783.69</v>
      </c>
      <c r="I230" s="445">
        <v>39.18</v>
      </c>
      <c r="J230" s="451">
        <v>0</v>
      </c>
      <c r="K230" s="483">
        <f>+L230+M230</f>
        <v>74.8900000000001</v>
      </c>
      <c r="L230" s="451">
        <f t="shared" si="241"/>
        <v>74.8900000000001</v>
      </c>
      <c r="M230" s="451"/>
      <c r="N230" s="483">
        <f>+O230+P230</f>
        <v>2.0200000000000031</v>
      </c>
      <c r="O230" s="451"/>
      <c r="P230" s="451">
        <f>+S230-I230</f>
        <v>2.0200000000000031</v>
      </c>
      <c r="Q230" s="466">
        <f t="shared" ref="Q230" si="244">+R230+S230</f>
        <v>750</v>
      </c>
      <c r="R230" s="451">
        <v>708.8</v>
      </c>
      <c r="S230" s="451">
        <v>41.2</v>
      </c>
      <c r="T230" s="451"/>
      <c r="U230" s="451">
        <f t="shared" si="237"/>
        <v>750</v>
      </c>
      <c r="V230" s="451">
        <f t="shared" si="238"/>
        <v>708.8</v>
      </c>
      <c r="W230" s="451">
        <f t="shared" si="238"/>
        <v>41.2</v>
      </c>
      <c r="X230" s="445">
        <f t="shared" ref="X230:X235" si="245">Y230+Z230</f>
        <v>0</v>
      </c>
      <c r="Y230" s="451"/>
      <c r="Z230" s="451"/>
      <c r="AA230" s="451"/>
      <c r="AB230" s="483"/>
      <c r="AC230" s="483"/>
      <c r="AD230" s="451">
        <f>+AE230+AF230</f>
        <v>750</v>
      </c>
      <c r="AE230" s="483">
        <v>708.8</v>
      </c>
      <c r="AF230" s="483">
        <v>41.2</v>
      </c>
      <c r="AG230" s="451"/>
      <c r="AH230" s="483"/>
      <c r="AI230" s="483"/>
      <c r="AJ230" s="451"/>
      <c r="AK230" s="451"/>
      <c r="AL230" s="15"/>
    </row>
    <row r="231" spans="1:41" ht="60">
      <c r="A231" s="8">
        <f>+A229+1</f>
        <v>8</v>
      </c>
      <c r="B231" s="328" t="s">
        <v>459</v>
      </c>
      <c r="C231" s="8" t="s">
        <v>460</v>
      </c>
      <c r="D231" s="8"/>
      <c r="E231" s="22" t="s">
        <v>461</v>
      </c>
      <c r="F231" s="8" t="s">
        <v>54</v>
      </c>
      <c r="G231" s="445">
        <f>H231+I231</f>
        <v>840</v>
      </c>
      <c r="H231" s="445">
        <v>800</v>
      </c>
      <c r="I231" s="445">
        <v>40</v>
      </c>
      <c r="J231" s="451">
        <v>0</v>
      </c>
      <c r="K231" s="483">
        <f>+L231+M231</f>
        <v>140.00000000000006</v>
      </c>
      <c r="L231" s="451">
        <f t="shared" si="241"/>
        <v>127.70000000000005</v>
      </c>
      <c r="M231" s="451">
        <f t="shared" si="242"/>
        <v>12.3</v>
      </c>
      <c r="N231" s="483"/>
      <c r="O231" s="451"/>
      <c r="P231" s="451"/>
      <c r="Q231" s="451">
        <f>+R231+S231</f>
        <v>700</v>
      </c>
      <c r="R231" s="483">
        <v>672.3</v>
      </c>
      <c r="S231" s="483">
        <v>27.7</v>
      </c>
      <c r="T231" s="451"/>
      <c r="U231" s="451">
        <f>+V231+W231</f>
        <v>0</v>
      </c>
      <c r="V231" s="451">
        <f>+Y231+AB231+AE231</f>
        <v>0</v>
      </c>
      <c r="W231" s="451">
        <f>+Z231+AC231+AF231</f>
        <v>0</v>
      </c>
      <c r="X231" s="445">
        <f>Y231+Z231</f>
        <v>0</v>
      </c>
      <c r="Y231" s="451"/>
      <c r="Z231" s="451"/>
      <c r="AA231" s="451"/>
      <c r="AB231" s="483"/>
      <c r="AC231" s="483"/>
      <c r="AD231" s="451"/>
      <c r="AE231" s="483"/>
      <c r="AF231" s="483"/>
      <c r="AG231" s="451">
        <f>+AH231+AI231</f>
        <v>700</v>
      </c>
      <c r="AH231" s="483">
        <v>672.3</v>
      </c>
      <c r="AI231" s="483">
        <v>27.7</v>
      </c>
      <c r="AJ231" s="451"/>
      <c r="AK231" s="451"/>
      <c r="AL231" s="15"/>
    </row>
    <row r="232" spans="1:41" ht="75">
      <c r="A232" s="8">
        <f>+A231+1</f>
        <v>9</v>
      </c>
      <c r="B232" s="328" t="s">
        <v>462</v>
      </c>
      <c r="C232" s="8" t="s">
        <v>463</v>
      </c>
      <c r="D232" s="8"/>
      <c r="E232" s="8" t="s">
        <v>94</v>
      </c>
      <c r="F232" s="8" t="s">
        <v>54</v>
      </c>
      <c r="G232" s="445">
        <f>H232+I232</f>
        <v>420</v>
      </c>
      <c r="H232" s="445">
        <v>400</v>
      </c>
      <c r="I232" s="445">
        <v>20</v>
      </c>
      <c r="J232" s="451">
        <v>0</v>
      </c>
      <c r="K232" s="483">
        <f>+L232+M232</f>
        <v>3.379999999999999</v>
      </c>
      <c r="L232" s="451"/>
      <c r="M232" s="451">
        <f t="shared" si="242"/>
        <v>3.379999999999999</v>
      </c>
      <c r="N232" s="483">
        <f>+O232+P232</f>
        <v>3.3799999999999955</v>
      </c>
      <c r="O232" s="451">
        <f>+R232-H232</f>
        <v>3.3799999999999955</v>
      </c>
      <c r="P232" s="451"/>
      <c r="Q232" s="445">
        <f t="shared" ref="Q232:Q234" si="246">R232+S232</f>
        <v>420</v>
      </c>
      <c r="R232" s="445">
        <v>403.38</v>
      </c>
      <c r="S232" s="445">
        <v>16.62</v>
      </c>
      <c r="T232" s="451"/>
      <c r="U232" s="451">
        <f>+V232+W232</f>
        <v>0</v>
      </c>
      <c r="V232" s="451">
        <f>+Y232+AB232+AE232</f>
        <v>0</v>
      </c>
      <c r="W232" s="451">
        <f>+Z232+AC232+AF232</f>
        <v>0</v>
      </c>
      <c r="X232" s="445">
        <f>Y232+Z232</f>
        <v>0</v>
      </c>
      <c r="Y232" s="451"/>
      <c r="Z232" s="451"/>
      <c r="AA232" s="451"/>
      <c r="AB232" s="483"/>
      <c r="AC232" s="483"/>
      <c r="AD232" s="451"/>
      <c r="AE232" s="483"/>
      <c r="AF232" s="483"/>
      <c r="AG232" s="445">
        <f t="shared" ref="AG232" si="247">AH232+AI232</f>
        <v>420</v>
      </c>
      <c r="AH232" s="445">
        <v>403.38</v>
      </c>
      <c r="AI232" s="445">
        <v>16.62</v>
      </c>
      <c r="AJ232" s="451"/>
      <c r="AK232" s="451"/>
      <c r="AL232" s="15"/>
    </row>
    <row r="233" spans="1:41" ht="60">
      <c r="A233" s="8">
        <f>+A230+1</f>
        <v>11</v>
      </c>
      <c r="B233" s="328" t="s">
        <v>465</v>
      </c>
      <c r="C233" s="8" t="s">
        <v>454</v>
      </c>
      <c r="D233" s="8"/>
      <c r="E233" s="22" t="s">
        <v>458</v>
      </c>
      <c r="F233" s="8" t="s">
        <v>55</v>
      </c>
      <c r="G233" s="445">
        <f t="shared" si="243"/>
        <v>1260</v>
      </c>
      <c r="H233" s="445">
        <v>1200</v>
      </c>
      <c r="I233" s="445">
        <v>60</v>
      </c>
      <c r="J233" s="451">
        <v>0</v>
      </c>
      <c r="K233" s="483">
        <f>+L233+M233</f>
        <v>10.149999999999999</v>
      </c>
      <c r="L233" s="451"/>
      <c r="M233" s="451">
        <f t="shared" si="242"/>
        <v>10.149999999999999</v>
      </c>
      <c r="N233" s="483">
        <f>+O233+P233</f>
        <v>10.150000000000091</v>
      </c>
      <c r="O233" s="451">
        <f>+R233-H233</f>
        <v>10.150000000000091</v>
      </c>
      <c r="P233" s="451"/>
      <c r="Q233" s="445">
        <f t="shared" si="246"/>
        <v>1260</v>
      </c>
      <c r="R233" s="445">
        <v>1210.1500000000001</v>
      </c>
      <c r="S233" s="445">
        <v>49.85</v>
      </c>
      <c r="T233" s="451"/>
      <c r="U233" s="451">
        <f t="shared" si="237"/>
        <v>0</v>
      </c>
      <c r="V233" s="451">
        <f>+Y233+AB233+AE233</f>
        <v>0</v>
      </c>
      <c r="W233" s="451">
        <f t="shared" si="238"/>
        <v>0</v>
      </c>
      <c r="X233" s="445">
        <f t="shared" si="245"/>
        <v>0</v>
      </c>
      <c r="Y233" s="451"/>
      <c r="Z233" s="451"/>
      <c r="AA233" s="451"/>
      <c r="AB233" s="483"/>
      <c r="AC233" s="483"/>
      <c r="AD233" s="451"/>
      <c r="AE233" s="483"/>
      <c r="AF233" s="483"/>
      <c r="AG233" s="445">
        <f t="shared" ref="AG233:AG234" si="248">AH233+AI233</f>
        <v>1260</v>
      </c>
      <c r="AH233" s="445">
        <v>1210.1500000000001</v>
      </c>
      <c r="AI233" s="445">
        <v>49.85</v>
      </c>
      <c r="AJ233" s="451"/>
      <c r="AK233" s="451"/>
      <c r="AL233" s="15"/>
    </row>
    <row r="234" spans="1:41" ht="60">
      <c r="A234" s="8">
        <f t="shared" si="240"/>
        <v>12</v>
      </c>
      <c r="B234" s="328" t="s">
        <v>1154</v>
      </c>
      <c r="C234" s="8" t="s">
        <v>454</v>
      </c>
      <c r="D234" s="8"/>
      <c r="E234" s="22" t="s">
        <v>467</v>
      </c>
      <c r="F234" s="8" t="s">
        <v>55</v>
      </c>
      <c r="G234" s="445">
        <f t="shared" si="243"/>
        <v>315</v>
      </c>
      <c r="H234" s="445">
        <v>300</v>
      </c>
      <c r="I234" s="445">
        <v>15</v>
      </c>
      <c r="J234" s="451">
        <v>0</v>
      </c>
      <c r="K234" s="483">
        <f>+L234+M234</f>
        <v>2.5399999999999991</v>
      </c>
      <c r="L234" s="451"/>
      <c r="M234" s="451">
        <f t="shared" si="242"/>
        <v>2.5399999999999991</v>
      </c>
      <c r="N234" s="483">
        <f>+O234+P234</f>
        <v>2.5400000000000205</v>
      </c>
      <c r="O234" s="451">
        <f>+R234-H234</f>
        <v>2.5400000000000205</v>
      </c>
      <c r="P234" s="451"/>
      <c r="Q234" s="445">
        <f t="shared" si="246"/>
        <v>315</v>
      </c>
      <c r="R234" s="445">
        <v>302.54000000000002</v>
      </c>
      <c r="S234" s="445">
        <v>12.46</v>
      </c>
      <c r="T234" s="451"/>
      <c r="U234" s="451">
        <f t="shared" si="237"/>
        <v>0</v>
      </c>
      <c r="V234" s="451">
        <f t="shared" si="238"/>
        <v>0</v>
      </c>
      <c r="W234" s="451">
        <f t="shared" si="238"/>
        <v>0</v>
      </c>
      <c r="X234" s="445">
        <f t="shared" si="245"/>
        <v>0</v>
      </c>
      <c r="Y234" s="451"/>
      <c r="Z234" s="451"/>
      <c r="AA234" s="451"/>
      <c r="AB234" s="483"/>
      <c r="AC234" s="483"/>
      <c r="AD234" s="451"/>
      <c r="AE234" s="483"/>
      <c r="AF234" s="483"/>
      <c r="AG234" s="445">
        <f t="shared" si="248"/>
        <v>315</v>
      </c>
      <c r="AH234" s="445">
        <v>302.54000000000002</v>
      </c>
      <c r="AI234" s="445">
        <v>12.46</v>
      </c>
      <c r="AJ234" s="451"/>
      <c r="AK234" s="451"/>
      <c r="AL234" s="15"/>
    </row>
    <row r="235" spans="1:41" ht="60">
      <c r="A235" s="8">
        <f t="shared" si="240"/>
        <v>13</v>
      </c>
      <c r="B235" s="328" t="s">
        <v>1155</v>
      </c>
      <c r="C235" s="8" t="s">
        <v>1156</v>
      </c>
      <c r="D235" s="8"/>
      <c r="E235" s="22"/>
      <c r="F235" s="8" t="s">
        <v>55</v>
      </c>
      <c r="G235" s="445">
        <f t="shared" si="243"/>
        <v>210</v>
      </c>
      <c r="H235" s="445">
        <v>200</v>
      </c>
      <c r="I235" s="445">
        <v>10</v>
      </c>
      <c r="J235" s="451">
        <v>0</v>
      </c>
      <c r="K235" s="483"/>
      <c r="L235" s="451"/>
      <c r="M235" s="451"/>
      <c r="N235" s="483">
        <f>+O235+P235</f>
        <v>149.78000000000003</v>
      </c>
      <c r="O235" s="451">
        <f>+R235-H235</f>
        <v>145.54000000000002</v>
      </c>
      <c r="P235" s="451">
        <f>+S235-I235</f>
        <v>4.24</v>
      </c>
      <c r="Q235" s="451">
        <f>+R235+S235</f>
        <v>359.78000000000003</v>
      </c>
      <c r="R235" s="483">
        <v>345.54</v>
      </c>
      <c r="S235" s="483">
        <v>14.24</v>
      </c>
      <c r="T235" s="451"/>
      <c r="U235" s="451">
        <f t="shared" si="237"/>
        <v>0</v>
      </c>
      <c r="V235" s="451">
        <f t="shared" si="238"/>
        <v>0</v>
      </c>
      <c r="W235" s="451">
        <f t="shared" si="238"/>
        <v>0</v>
      </c>
      <c r="X235" s="445">
        <f t="shared" si="245"/>
        <v>0</v>
      </c>
      <c r="Y235" s="451"/>
      <c r="Z235" s="451"/>
      <c r="AA235" s="451"/>
      <c r="AB235" s="483"/>
      <c r="AC235" s="483"/>
      <c r="AD235" s="451"/>
      <c r="AE235" s="483"/>
      <c r="AF235" s="483"/>
      <c r="AG235" s="451">
        <f>+AH235+AI235</f>
        <v>359.78000000000003</v>
      </c>
      <c r="AH235" s="483">
        <v>345.54</v>
      </c>
      <c r="AI235" s="483">
        <v>14.24</v>
      </c>
      <c r="AJ235" s="451"/>
      <c r="AK235" s="451"/>
      <c r="AL235" s="15"/>
    </row>
    <row r="236" spans="1:41" ht="45">
      <c r="A236" s="8">
        <f t="shared" si="240"/>
        <v>14</v>
      </c>
      <c r="B236" s="328" t="s">
        <v>1157</v>
      </c>
      <c r="C236" s="8" t="s">
        <v>445</v>
      </c>
      <c r="D236" s="8" t="s">
        <v>55</v>
      </c>
      <c r="E236" s="22"/>
      <c r="F236" s="8" t="s">
        <v>55</v>
      </c>
      <c r="G236" s="445"/>
      <c r="H236" s="445"/>
      <c r="I236" s="445"/>
      <c r="J236" s="451"/>
      <c r="K236" s="483"/>
      <c r="L236" s="451"/>
      <c r="M236" s="451"/>
      <c r="N236" s="451">
        <f>+O236+P236</f>
        <v>300</v>
      </c>
      <c r="O236" s="483">
        <v>288.13</v>
      </c>
      <c r="P236" s="483">
        <v>11.87</v>
      </c>
      <c r="Q236" s="451">
        <f>+R236+S236</f>
        <v>300</v>
      </c>
      <c r="R236" s="483">
        <v>288.13</v>
      </c>
      <c r="S236" s="483">
        <v>11.87</v>
      </c>
      <c r="T236" s="533" t="s">
        <v>1166</v>
      </c>
      <c r="U236" s="451"/>
      <c r="V236" s="451"/>
      <c r="W236" s="451"/>
      <c r="X236" s="445"/>
      <c r="Y236" s="451"/>
      <c r="Z236" s="451"/>
      <c r="AA236" s="451"/>
      <c r="AB236" s="483"/>
      <c r="AC236" s="483"/>
      <c r="AD236" s="451"/>
      <c r="AE236" s="483"/>
      <c r="AF236" s="483"/>
      <c r="AG236" s="451">
        <f>+AH236+AI236</f>
        <v>300</v>
      </c>
      <c r="AH236" s="483">
        <v>288.13</v>
      </c>
      <c r="AI236" s="483">
        <v>11.87</v>
      </c>
      <c r="AJ236" s="451"/>
      <c r="AK236" s="451"/>
      <c r="AL236" s="15"/>
    </row>
    <row r="237" spans="1:41" s="14" customFormat="1" ht="23.25" customHeight="1">
      <c r="A237" s="424" t="s">
        <v>1002</v>
      </c>
      <c r="B237" s="518" t="s">
        <v>472</v>
      </c>
      <c r="C237" s="418"/>
      <c r="D237" s="418"/>
      <c r="E237" s="417">
        <v>0</v>
      </c>
      <c r="F237" s="417"/>
      <c r="G237" s="446">
        <f>SUM(G238:G250)</f>
        <v>10098.000000000002</v>
      </c>
      <c r="H237" s="446">
        <f t="shared" ref="H237:S237" si="249">SUM(H238:H250)</f>
        <v>9617.14</v>
      </c>
      <c r="I237" s="446">
        <f t="shared" si="249"/>
        <v>480.85999999999996</v>
      </c>
      <c r="J237" s="446">
        <f t="shared" si="249"/>
        <v>0</v>
      </c>
      <c r="K237" s="446">
        <f t="shared" si="249"/>
        <v>456.67160000000007</v>
      </c>
      <c r="L237" s="446">
        <f t="shared" si="249"/>
        <v>417.67160000000007</v>
      </c>
      <c r="M237" s="446">
        <f t="shared" si="249"/>
        <v>39</v>
      </c>
      <c r="N237" s="446">
        <f t="shared" si="249"/>
        <v>456.67160000000013</v>
      </c>
      <c r="O237" s="446">
        <f t="shared" si="249"/>
        <v>417.67160000000013</v>
      </c>
      <c r="P237" s="446">
        <f t="shared" si="249"/>
        <v>38.999999999999993</v>
      </c>
      <c r="Q237" s="446">
        <f t="shared" si="249"/>
        <v>10098</v>
      </c>
      <c r="R237" s="446">
        <f t="shared" si="249"/>
        <v>9617.14</v>
      </c>
      <c r="S237" s="446">
        <f t="shared" si="249"/>
        <v>480.85999999999996</v>
      </c>
      <c r="T237" s="446"/>
      <c r="U237" s="446">
        <f t="shared" ref="U237:AI237" si="250">SUM(U238:U250)</f>
        <v>6733.7983999999997</v>
      </c>
      <c r="V237" s="446">
        <f t="shared" si="250"/>
        <v>6385.6484</v>
      </c>
      <c r="W237" s="446">
        <f t="shared" si="250"/>
        <v>348.15</v>
      </c>
      <c r="X237" s="446">
        <f t="shared" si="250"/>
        <v>1817.46</v>
      </c>
      <c r="Y237" s="446">
        <f t="shared" si="250"/>
        <v>1730.91</v>
      </c>
      <c r="Z237" s="446">
        <f t="shared" si="250"/>
        <v>86.55</v>
      </c>
      <c r="AA237" s="446">
        <f t="shared" si="250"/>
        <v>2437.3383999999996</v>
      </c>
      <c r="AB237" s="446">
        <f t="shared" si="250"/>
        <v>2312.0383999999999</v>
      </c>
      <c r="AC237" s="446">
        <f t="shared" si="250"/>
        <v>125.3</v>
      </c>
      <c r="AD237" s="446">
        <f t="shared" si="250"/>
        <v>2479</v>
      </c>
      <c r="AE237" s="446">
        <f t="shared" si="250"/>
        <v>2342.6999999999998</v>
      </c>
      <c r="AF237" s="446">
        <f t="shared" si="250"/>
        <v>136.30000000000001</v>
      </c>
      <c r="AG237" s="446">
        <f t="shared" si="250"/>
        <v>3364.2015999999999</v>
      </c>
      <c r="AH237" s="446">
        <f t="shared" si="250"/>
        <v>3231.4915999999998</v>
      </c>
      <c r="AI237" s="446">
        <f t="shared" si="250"/>
        <v>132.71</v>
      </c>
      <c r="AJ237" s="446"/>
      <c r="AK237" s="446">
        <f>SUM(AK238:AK250)</f>
        <v>0</v>
      </c>
      <c r="AL237" s="16"/>
      <c r="AM237" s="368">
        <f>+'NĂM 2022'!K76+'NĂM 2023'!N92+'NĂM 2024'!J85+'NĂM 2025'!J82</f>
        <v>10098</v>
      </c>
      <c r="AN237" s="368">
        <f>+'NĂM 2022'!L76+'NĂM 2023'!O92+'NĂM 2024'!K85+'NĂM 2025'!K82</f>
        <v>9617.14</v>
      </c>
      <c r="AO237" s="368">
        <f>+'NĂM 2022'!M76+'NĂM 2023'!P92+'NĂM 2024'!L85+'NĂM 2025'!L82</f>
        <v>480.86</v>
      </c>
    </row>
    <row r="238" spans="1:41" ht="75">
      <c r="A238" s="19">
        <v>1</v>
      </c>
      <c r="B238" s="343" t="s">
        <v>473</v>
      </c>
      <c r="C238" s="19" t="s">
        <v>474</v>
      </c>
      <c r="D238" s="19"/>
      <c r="E238" s="8" t="s">
        <v>475</v>
      </c>
      <c r="F238" s="8" t="s">
        <v>52</v>
      </c>
      <c r="G238" s="445">
        <f t="shared" ref="G238:G250" si="251">H238+I238</f>
        <v>1817.46</v>
      </c>
      <c r="H238" s="445">
        <v>1730.91</v>
      </c>
      <c r="I238" s="445">
        <v>86.55</v>
      </c>
      <c r="J238" s="451">
        <v>0</v>
      </c>
      <c r="K238" s="483">
        <f>+G238-Q238</f>
        <v>0</v>
      </c>
      <c r="L238" s="451"/>
      <c r="M238" s="451"/>
      <c r="N238" s="483"/>
      <c r="O238" s="451"/>
      <c r="P238" s="451"/>
      <c r="Q238" s="466">
        <v>1817.46</v>
      </c>
      <c r="R238" s="451">
        <v>1730.91</v>
      </c>
      <c r="S238" s="451">
        <v>86.55</v>
      </c>
      <c r="T238" s="451"/>
      <c r="U238" s="451">
        <f>+V238+W238</f>
        <v>1817.46</v>
      </c>
      <c r="V238" s="451">
        <f>+Y238+AB238+AE238</f>
        <v>1730.91</v>
      </c>
      <c r="W238" s="451">
        <f>+Z238+AC238+AF238</f>
        <v>86.55</v>
      </c>
      <c r="X238" s="445">
        <f t="shared" ref="X238:X250" si="252">Y238+Z238</f>
        <v>1817.46</v>
      </c>
      <c r="Y238" s="445">
        <v>1730.91</v>
      </c>
      <c r="Z238" s="445">
        <v>86.55</v>
      </c>
      <c r="AA238" s="445"/>
      <c r="AB238" s="481"/>
      <c r="AC238" s="481"/>
      <c r="AD238" s="445"/>
      <c r="AE238" s="481"/>
      <c r="AF238" s="481"/>
      <c r="AG238" s="445"/>
      <c r="AH238" s="481"/>
      <c r="AI238" s="481"/>
      <c r="AJ238" s="445"/>
      <c r="AK238" s="451"/>
      <c r="AL238" s="15"/>
      <c r="AM238" s="506">
        <f>+G237-U237</f>
        <v>3364.2016000000021</v>
      </c>
      <c r="AN238" s="506">
        <f>+H237-V237</f>
        <v>3231.4915999999994</v>
      </c>
      <c r="AO238" s="506">
        <f>+I237-W237</f>
        <v>132.70999999999998</v>
      </c>
    </row>
    <row r="239" spans="1:41" ht="75">
      <c r="A239" s="19">
        <f>+A238+1</f>
        <v>2</v>
      </c>
      <c r="B239" s="343" t="s">
        <v>476</v>
      </c>
      <c r="C239" s="19" t="s">
        <v>474</v>
      </c>
      <c r="D239" s="19"/>
      <c r="E239" s="8" t="s">
        <v>94</v>
      </c>
      <c r="F239" s="19" t="s">
        <v>53</v>
      </c>
      <c r="G239" s="445">
        <f t="shared" si="251"/>
        <v>468.3</v>
      </c>
      <c r="H239" s="445">
        <v>446</v>
      </c>
      <c r="I239" s="445">
        <v>22.3</v>
      </c>
      <c r="J239" s="451">
        <v>0</v>
      </c>
      <c r="K239" s="483"/>
      <c r="L239" s="451"/>
      <c r="M239" s="451"/>
      <c r="N239" s="483">
        <f>+O239+P239</f>
        <v>72.109999999999985</v>
      </c>
      <c r="O239" s="451">
        <f>+R239-H239</f>
        <v>64.259999999999991</v>
      </c>
      <c r="P239" s="451">
        <f>+S239-I239</f>
        <v>7.8499999999999979</v>
      </c>
      <c r="Q239" s="466">
        <v>540.41</v>
      </c>
      <c r="R239" s="451">
        <v>510.26</v>
      </c>
      <c r="S239" s="451">
        <v>30.15</v>
      </c>
      <c r="T239" s="451"/>
      <c r="U239" s="451">
        <f t="shared" ref="U239:U250" si="253">+V239+W239</f>
        <v>540.41</v>
      </c>
      <c r="V239" s="451">
        <f t="shared" ref="V239:W250" si="254">+Y239+AB239+AE239</f>
        <v>510.26</v>
      </c>
      <c r="W239" s="451">
        <f t="shared" si="254"/>
        <v>30.15</v>
      </c>
      <c r="X239" s="445">
        <f t="shared" si="252"/>
        <v>0</v>
      </c>
      <c r="Y239" s="451"/>
      <c r="Z239" s="451"/>
      <c r="AA239" s="451">
        <f>+AB239+AC239</f>
        <v>540.41</v>
      </c>
      <c r="AB239" s="483">
        <v>510.26</v>
      </c>
      <c r="AC239" s="483">
        <v>30.15</v>
      </c>
      <c r="AD239" s="451"/>
      <c r="AE239" s="483"/>
      <c r="AF239" s="483"/>
      <c r="AG239" s="451"/>
      <c r="AH239" s="483"/>
      <c r="AI239" s="483"/>
      <c r="AJ239" s="451"/>
      <c r="AK239" s="451"/>
      <c r="AL239" s="15"/>
      <c r="AM239" s="515">
        <f>+AM238-AG237</f>
        <v>0</v>
      </c>
      <c r="AN239" s="515">
        <f t="shared" ref="AN239:AO239" si="255">+AN238-AH237</f>
        <v>0</v>
      </c>
      <c r="AO239" s="515">
        <f t="shared" si="255"/>
        <v>0</v>
      </c>
    </row>
    <row r="240" spans="1:41" ht="75">
      <c r="A240" s="19">
        <f t="shared" ref="A240:A250" si="256">+A239+1</f>
        <v>3</v>
      </c>
      <c r="B240" s="343" t="s">
        <v>477</v>
      </c>
      <c r="C240" s="19" t="s">
        <v>478</v>
      </c>
      <c r="D240" s="19"/>
      <c r="E240" s="8" t="s">
        <v>94</v>
      </c>
      <c r="F240" s="19" t="s">
        <v>53</v>
      </c>
      <c r="G240" s="445">
        <f t="shared" si="251"/>
        <v>468.3</v>
      </c>
      <c r="H240" s="445">
        <v>446</v>
      </c>
      <c r="I240" s="445">
        <v>22.3</v>
      </c>
      <c r="J240" s="451">
        <v>0</v>
      </c>
      <c r="K240" s="483"/>
      <c r="L240" s="451"/>
      <c r="M240" s="451"/>
      <c r="N240" s="483">
        <f>+O240+P240</f>
        <v>72.099999999999994</v>
      </c>
      <c r="O240" s="451">
        <f>+R240-H240</f>
        <v>64.25</v>
      </c>
      <c r="P240" s="451">
        <f>+S240-I240</f>
        <v>7.8499999999999979</v>
      </c>
      <c r="Q240" s="466">
        <v>540.4</v>
      </c>
      <c r="R240" s="451">
        <v>510.25</v>
      </c>
      <c r="S240" s="451">
        <v>30.15</v>
      </c>
      <c r="T240" s="451"/>
      <c r="U240" s="451">
        <f t="shared" si="253"/>
        <v>540.4</v>
      </c>
      <c r="V240" s="451">
        <f t="shared" si="254"/>
        <v>510.25</v>
      </c>
      <c r="W240" s="451">
        <f t="shared" si="254"/>
        <v>30.15</v>
      </c>
      <c r="X240" s="445">
        <f t="shared" si="252"/>
        <v>0</v>
      </c>
      <c r="Y240" s="451"/>
      <c r="Z240" s="451"/>
      <c r="AA240" s="451">
        <f>+AB240+AC240</f>
        <v>540.4</v>
      </c>
      <c r="AB240" s="483">
        <v>510.25</v>
      </c>
      <c r="AC240" s="483">
        <v>30.15</v>
      </c>
      <c r="AD240" s="451"/>
      <c r="AE240" s="483"/>
      <c r="AF240" s="483"/>
      <c r="AG240" s="451"/>
      <c r="AH240" s="483"/>
      <c r="AI240" s="483"/>
      <c r="AJ240" s="451"/>
      <c r="AK240" s="451"/>
      <c r="AL240" s="15"/>
    </row>
    <row r="241" spans="1:41" ht="30">
      <c r="A241" s="19">
        <f t="shared" si="256"/>
        <v>4</v>
      </c>
      <c r="B241" s="343" t="s">
        <v>479</v>
      </c>
      <c r="C241" s="19" t="s">
        <v>472</v>
      </c>
      <c r="D241" s="19"/>
      <c r="E241" s="19" t="s">
        <v>480</v>
      </c>
      <c r="F241" s="19" t="s">
        <v>53</v>
      </c>
      <c r="G241" s="445">
        <f t="shared" si="251"/>
        <v>315</v>
      </c>
      <c r="H241" s="445">
        <v>300</v>
      </c>
      <c r="I241" s="445">
        <v>15</v>
      </c>
      <c r="J241" s="451">
        <v>0</v>
      </c>
      <c r="K241" s="483">
        <f>+L241+M241</f>
        <v>4.9309999999999832</v>
      </c>
      <c r="L241" s="451">
        <f>+H241-R241</f>
        <v>4.9309999999999832</v>
      </c>
      <c r="M241" s="451"/>
      <c r="N241" s="483"/>
      <c r="O241" s="451"/>
      <c r="P241" s="451"/>
      <c r="Q241" s="466">
        <v>310.06900000000002</v>
      </c>
      <c r="R241" s="451">
        <v>295.06900000000002</v>
      </c>
      <c r="S241" s="451">
        <v>15</v>
      </c>
      <c r="T241" s="451"/>
      <c r="U241" s="451">
        <f t="shared" si="253"/>
        <v>310.06900000000002</v>
      </c>
      <c r="V241" s="451">
        <f t="shared" si="254"/>
        <v>295.06900000000002</v>
      </c>
      <c r="W241" s="451">
        <f t="shared" si="254"/>
        <v>15</v>
      </c>
      <c r="X241" s="445">
        <f t="shared" si="252"/>
        <v>0</v>
      </c>
      <c r="Y241" s="451"/>
      <c r="Z241" s="451"/>
      <c r="AA241" s="451">
        <f>+AB241+AC241</f>
        <v>310.06900000000002</v>
      </c>
      <c r="AB241" s="483">
        <f>300-4.931</f>
        <v>295.06900000000002</v>
      </c>
      <c r="AC241" s="483">
        <v>15</v>
      </c>
      <c r="AD241" s="451"/>
      <c r="AE241" s="483"/>
      <c r="AF241" s="483"/>
      <c r="AG241" s="451"/>
      <c r="AH241" s="483"/>
      <c r="AI241" s="483"/>
      <c r="AJ241" s="451"/>
      <c r="AK241" s="451"/>
      <c r="AL241" s="15"/>
    </row>
    <row r="242" spans="1:41" ht="30">
      <c r="A242" s="19">
        <f t="shared" si="256"/>
        <v>5</v>
      </c>
      <c r="B242" s="343" t="s">
        <v>484</v>
      </c>
      <c r="C242" s="19" t="s">
        <v>482</v>
      </c>
      <c r="D242" s="19"/>
      <c r="E242" s="8" t="s">
        <v>483</v>
      </c>
      <c r="F242" s="19" t="s">
        <v>53</v>
      </c>
      <c r="G242" s="445">
        <f t="shared" si="251"/>
        <v>1050</v>
      </c>
      <c r="H242" s="445">
        <v>1000</v>
      </c>
      <c r="I242" s="445">
        <v>50</v>
      </c>
      <c r="J242" s="451">
        <v>0</v>
      </c>
      <c r="K242" s="483">
        <f>+L242+M242</f>
        <v>3.5406000000000404</v>
      </c>
      <c r="L242" s="451">
        <f>+H242-R242</f>
        <v>3.5406000000000404</v>
      </c>
      <c r="M242" s="451"/>
      <c r="N242" s="483"/>
      <c r="O242" s="451"/>
      <c r="P242" s="451"/>
      <c r="Q242" s="466">
        <v>1046.4594</v>
      </c>
      <c r="R242" s="451">
        <v>996.45939999999996</v>
      </c>
      <c r="S242" s="451">
        <v>50</v>
      </c>
      <c r="T242" s="451"/>
      <c r="U242" s="451">
        <f t="shared" si="253"/>
        <v>1046.4594</v>
      </c>
      <c r="V242" s="451">
        <f t="shared" si="254"/>
        <v>996.45939999999996</v>
      </c>
      <c r="W242" s="451">
        <f t="shared" si="254"/>
        <v>50</v>
      </c>
      <c r="X242" s="445">
        <f t="shared" si="252"/>
        <v>0</v>
      </c>
      <c r="Y242" s="451"/>
      <c r="Z242" s="451"/>
      <c r="AA242" s="451">
        <f>+AB242+AC242</f>
        <v>1046.4594</v>
      </c>
      <c r="AB242" s="483">
        <f>1000-3.5406</f>
        <v>996.45939999999996</v>
      </c>
      <c r="AC242" s="483">
        <v>50</v>
      </c>
      <c r="AD242" s="451"/>
      <c r="AE242" s="483"/>
      <c r="AF242" s="483"/>
      <c r="AG242" s="451"/>
      <c r="AH242" s="483"/>
      <c r="AI242" s="483"/>
      <c r="AJ242" s="451"/>
      <c r="AK242" s="451"/>
      <c r="AL242" s="15"/>
    </row>
    <row r="243" spans="1:41" ht="30">
      <c r="A243" s="19">
        <f t="shared" si="256"/>
        <v>6</v>
      </c>
      <c r="B243" s="328" t="s">
        <v>1158</v>
      </c>
      <c r="C243" s="8" t="s">
        <v>478</v>
      </c>
      <c r="D243" s="19"/>
      <c r="E243" s="8" t="s">
        <v>483</v>
      </c>
      <c r="F243" s="19" t="s">
        <v>54</v>
      </c>
      <c r="G243" s="445">
        <f>H243+I243</f>
        <v>1323</v>
      </c>
      <c r="H243" s="445">
        <v>1260</v>
      </c>
      <c r="I243" s="445">
        <v>63</v>
      </c>
      <c r="J243" s="451">
        <v>0</v>
      </c>
      <c r="K243" s="483">
        <f>+L243+M243</f>
        <v>9.2000000000000455</v>
      </c>
      <c r="L243" s="451">
        <f>+H243-R243</f>
        <v>9.2000000000000455</v>
      </c>
      <c r="M243" s="451"/>
      <c r="N243" s="483">
        <f>+O243+P243</f>
        <v>9.2999999999999972</v>
      </c>
      <c r="O243" s="451"/>
      <c r="P243" s="451">
        <f>+S243-I243</f>
        <v>9.2999999999999972</v>
      </c>
      <c r="Q243" s="466">
        <v>1323.1</v>
      </c>
      <c r="R243" s="451">
        <v>1250.8</v>
      </c>
      <c r="S243" s="451">
        <v>72.3</v>
      </c>
      <c r="T243" s="141" t="s">
        <v>1162</v>
      </c>
      <c r="U243" s="451">
        <f>+V243+W243</f>
        <v>1323.1</v>
      </c>
      <c r="V243" s="451">
        <f>+Y243+AB243+AE243</f>
        <v>1250.8</v>
      </c>
      <c r="W243" s="451">
        <f>+Z243+AC243+AF243</f>
        <v>72.3</v>
      </c>
      <c r="X243" s="445">
        <f>Y243+Z243</f>
        <v>0</v>
      </c>
      <c r="Y243" s="451"/>
      <c r="Z243" s="451"/>
      <c r="AA243" s="451"/>
      <c r="AB243" s="483"/>
      <c r="AC243" s="483"/>
      <c r="AD243" s="451">
        <f>+AE243+AF243</f>
        <v>1323.1</v>
      </c>
      <c r="AE243" s="483">
        <v>1250.8</v>
      </c>
      <c r="AF243" s="483">
        <v>72.3</v>
      </c>
      <c r="AG243" s="451"/>
      <c r="AH243" s="483"/>
      <c r="AI243" s="483"/>
      <c r="AJ243" s="451"/>
      <c r="AK243" s="451"/>
      <c r="AL243" s="15"/>
    </row>
    <row r="244" spans="1:41" ht="75">
      <c r="A244" s="19">
        <f t="shared" si="256"/>
        <v>7</v>
      </c>
      <c r="B244" s="328" t="s">
        <v>494</v>
      </c>
      <c r="C244" s="8" t="s">
        <v>495</v>
      </c>
      <c r="D244" s="8"/>
      <c r="E244" s="8" t="s">
        <v>496</v>
      </c>
      <c r="F244" s="19" t="s">
        <v>54</v>
      </c>
      <c r="G244" s="445">
        <f>H244+I244</f>
        <v>1050</v>
      </c>
      <c r="H244" s="445">
        <v>1000</v>
      </c>
      <c r="I244" s="445">
        <v>50</v>
      </c>
      <c r="J244" s="451"/>
      <c r="K244" s="483"/>
      <c r="L244" s="451"/>
      <c r="M244" s="451"/>
      <c r="N244" s="483">
        <f>+O244+P244</f>
        <v>105.90000000000009</v>
      </c>
      <c r="O244" s="451">
        <f>+R244-H244</f>
        <v>91.900000000000091</v>
      </c>
      <c r="P244" s="451">
        <f>+S244-I244</f>
        <v>14</v>
      </c>
      <c r="Q244" s="466">
        <v>1155.9000000000001</v>
      </c>
      <c r="R244" s="451">
        <v>1091.9000000000001</v>
      </c>
      <c r="S244" s="451">
        <v>64</v>
      </c>
      <c r="T244" s="451"/>
      <c r="U244" s="451">
        <f>+V244+W244</f>
        <v>1155.9000000000001</v>
      </c>
      <c r="V244" s="451">
        <f>+Y244+AB244+AE244</f>
        <v>1091.9000000000001</v>
      </c>
      <c r="W244" s="451">
        <f>+Z244+AC244+AF244</f>
        <v>64</v>
      </c>
      <c r="X244" s="445">
        <f>Y244+Z244</f>
        <v>0</v>
      </c>
      <c r="Y244" s="451"/>
      <c r="Z244" s="451"/>
      <c r="AA244" s="451"/>
      <c r="AB244" s="483"/>
      <c r="AC244" s="483"/>
      <c r="AD244" s="451">
        <f>+AE244+AF244</f>
        <v>1155.9000000000001</v>
      </c>
      <c r="AE244" s="483">
        <v>1091.9000000000001</v>
      </c>
      <c r="AF244" s="483">
        <v>64</v>
      </c>
      <c r="AG244" s="451"/>
      <c r="AH244" s="483"/>
      <c r="AI244" s="483"/>
      <c r="AJ244" s="451"/>
      <c r="AK244" s="451"/>
      <c r="AL244" s="15"/>
    </row>
    <row r="245" spans="1:41" ht="75">
      <c r="A245" s="19">
        <f t="shared" si="256"/>
        <v>8</v>
      </c>
      <c r="B245" s="328" t="s">
        <v>485</v>
      </c>
      <c r="C245" s="8" t="s">
        <v>486</v>
      </c>
      <c r="D245" s="8"/>
      <c r="E245" s="8" t="s">
        <v>128</v>
      </c>
      <c r="F245" s="19" t="s">
        <v>55</v>
      </c>
      <c r="G245" s="445">
        <f t="shared" si="251"/>
        <v>525</v>
      </c>
      <c r="H245" s="445">
        <v>500</v>
      </c>
      <c r="I245" s="445">
        <v>25</v>
      </c>
      <c r="J245" s="451"/>
      <c r="K245" s="483">
        <f t="shared" ref="K245:K248" si="257">+G245-Q245</f>
        <v>0</v>
      </c>
      <c r="L245" s="451"/>
      <c r="M245" s="451"/>
      <c r="N245" s="483"/>
      <c r="O245" s="451"/>
      <c r="P245" s="451"/>
      <c r="Q245" s="451">
        <f>+R245+S245</f>
        <v>525</v>
      </c>
      <c r="R245" s="483">
        <v>500</v>
      </c>
      <c r="S245" s="483">
        <v>25</v>
      </c>
      <c r="T245" s="451"/>
      <c r="U245" s="451">
        <f t="shared" si="253"/>
        <v>0</v>
      </c>
      <c r="V245" s="451">
        <f t="shared" si="254"/>
        <v>0</v>
      </c>
      <c r="W245" s="451">
        <f t="shared" si="254"/>
        <v>0</v>
      </c>
      <c r="X245" s="445">
        <f t="shared" si="252"/>
        <v>0</v>
      </c>
      <c r="Y245" s="451"/>
      <c r="Z245" s="451"/>
      <c r="AA245" s="451"/>
      <c r="AB245" s="483"/>
      <c r="AC245" s="483"/>
      <c r="AD245" s="451"/>
      <c r="AE245" s="483"/>
      <c r="AF245" s="483"/>
      <c r="AG245" s="451">
        <f>+AH245+AI245</f>
        <v>525</v>
      </c>
      <c r="AH245" s="483">
        <v>500</v>
      </c>
      <c r="AI245" s="483">
        <v>25</v>
      </c>
      <c r="AJ245" s="451"/>
      <c r="AK245" s="451"/>
      <c r="AL245" s="15"/>
    </row>
    <row r="246" spans="1:41" ht="75">
      <c r="A246" s="19">
        <f t="shared" si="256"/>
        <v>9</v>
      </c>
      <c r="B246" s="328" t="s">
        <v>489</v>
      </c>
      <c r="C246" s="8" t="s">
        <v>472</v>
      </c>
      <c r="D246" s="8"/>
      <c r="E246" s="8" t="s">
        <v>159</v>
      </c>
      <c r="F246" s="19" t="s">
        <v>55</v>
      </c>
      <c r="G246" s="445">
        <f t="shared" si="251"/>
        <v>509.25</v>
      </c>
      <c r="H246" s="445">
        <v>485</v>
      </c>
      <c r="I246" s="445">
        <v>24.25</v>
      </c>
      <c r="J246" s="451"/>
      <c r="K246" s="483">
        <f t="shared" si="257"/>
        <v>0</v>
      </c>
      <c r="L246" s="451"/>
      <c r="M246" s="451"/>
      <c r="N246" s="483"/>
      <c r="O246" s="451"/>
      <c r="P246" s="451"/>
      <c r="Q246" s="445">
        <f t="shared" ref="Q246:Q247" si="258">R246+S246</f>
        <v>509.25</v>
      </c>
      <c r="R246" s="445">
        <v>485</v>
      </c>
      <c r="S246" s="445">
        <v>24.25</v>
      </c>
      <c r="T246" s="451"/>
      <c r="U246" s="451">
        <f t="shared" si="253"/>
        <v>0</v>
      </c>
      <c r="V246" s="451">
        <f t="shared" si="254"/>
        <v>0</v>
      </c>
      <c r="W246" s="451">
        <f t="shared" si="254"/>
        <v>0</v>
      </c>
      <c r="X246" s="445">
        <f t="shared" si="252"/>
        <v>0</v>
      </c>
      <c r="Y246" s="451"/>
      <c r="Z246" s="451"/>
      <c r="AA246" s="451"/>
      <c r="AB246" s="483"/>
      <c r="AC246" s="483"/>
      <c r="AD246" s="451"/>
      <c r="AE246" s="483"/>
      <c r="AF246" s="483"/>
      <c r="AG246" s="445">
        <f t="shared" ref="AG246:AG247" si="259">AH246+AI246</f>
        <v>509.25</v>
      </c>
      <c r="AH246" s="445">
        <v>485</v>
      </c>
      <c r="AI246" s="445">
        <v>24.25</v>
      </c>
      <c r="AJ246" s="451"/>
      <c r="AK246" s="451"/>
      <c r="AL246" s="15"/>
    </row>
    <row r="247" spans="1:41" ht="45">
      <c r="A247" s="19">
        <f t="shared" si="256"/>
        <v>10</v>
      </c>
      <c r="B247" s="328" t="s">
        <v>490</v>
      </c>
      <c r="C247" s="8" t="s">
        <v>1173</v>
      </c>
      <c r="D247" s="8"/>
      <c r="E247" s="8" t="s">
        <v>491</v>
      </c>
      <c r="F247" s="19" t="s">
        <v>55</v>
      </c>
      <c r="G247" s="445">
        <f t="shared" si="251"/>
        <v>525</v>
      </c>
      <c r="H247" s="445">
        <v>500</v>
      </c>
      <c r="I247" s="445">
        <v>25</v>
      </c>
      <c r="J247" s="451"/>
      <c r="K247" s="483"/>
      <c r="L247" s="451"/>
      <c r="M247" s="451"/>
      <c r="N247" s="483">
        <f>+O247+P247</f>
        <v>197.26160000000004</v>
      </c>
      <c r="O247" s="451">
        <f>+R247-H247</f>
        <v>197.26160000000004</v>
      </c>
      <c r="P247" s="451">
        <f>+S247-I247</f>
        <v>0</v>
      </c>
      <c r="Q247" s="445">
        <f t="shared" si="258"/>
        <v>722.26160000000004</v>
      </c>
      <c r="R247" s="445">
        <v>697.26160000000004</v>
      </c>
      <c r="S247" s="445">
        <v>25</v>
      </c>
      <c r="T247" s="451"/>
      <c r="U247" s="451">
        <f t="shared" si="253"/>
        <v>0</v>
      </c>
      <c r="V247" s="451">
        <f t="shared" si="254"/>
        <v>0</v>
      </c>
      <c r="W247" s="451">
        <f t="shared" si="254"/>
        <v>0</v>
      </c>
      <c r="X247" s="445">
        <f t="shared" si="252"/>
        <v>0</v>
      </c>
      <c r="Y247" s="451"/>
      <c r="Z247" s="451"/>
      <c r="AA247" s="451"/>
      <c r="AB247" s="483"/>
      <c r="AC247" s="483"/>
      <c r="AD247" s="451"/>
      <c r="AE247" s="483"/>
      <c r="AF247" s="483"/>
      <c r="AG247" s="445">
        <f t="shared" si="259"/>
        <v>722.26160000000004</v>
      </c>
      <c r="AH247" s="445">
        <v>697.26160000000004</v>
      </c>
      <c r="AI247" s="445">
        <v>25</v>
      </c>
      <c r="AJ247" s="451"/>
      <c r="AK247" s="451"/>
      <c r="AL247" s="15"/>
    </row>
    <row r="248" spans="1:41" ht="45">
      <c r="A248" s="19">
        <f t="shared" si="256"/>
        <v>11</v>
      </c>
      <c r="B248" s="328" t="s">
        <v>1172</v>
      </c>
      <c r="C248" s="8" t="s">
        <v>1173</v>
      </c>
      <c r="D248" s="8"/>
      <c r="E248" s="8" t="s">
        <v>493</v>
      </c>
      <c r="F248" s="19" t="s">
        <v>55</v>
      </c>
      <c r="G248" s="445">
        <f t="shared" si="251"/>
        <v>630</v>
      </c>
      <c r="H248" s="445">
        <v>600</v>
      </c>
      <c r="I248" s="445">
        <v>30</v>
      </c>
      <c r="J248" s="451"/>
      <c r="K248" s="483">
        <f t="shared" si="257"/>
        <v>0</v>
      </c>
      <c r="L248" s="451"/>
      <c r="M248" s="451"/>
      <c r="N248" s="483"/>
      <c r="O248" s="451"/>
      <c r="P248" s="451"/>
      <c r="Q248" s="445">
        <f>R248+S248</f>
        <v>630</v>
      </c>
      <c r="R248" s="445">
        <v>600</v>
      </c>
      <c r="S248" s="445">
        <v>30</v>
      </c>
      <c r="T248" s="141" t="s">
        <v>1162</v>
      </c>
      <c r="U248" s="451">
        <f t="shared" si="253"/>
        <v>0</v>
      </c>
      <c r="V248" s="451">
        <f t="shared" si="254"/>
        <v>0</v>
      </c>
      <c r="W248" s="451">
        <f t="shared" si="254"/>
        <v>0</v>
      </c>
      <c r="X248" s="445">
        <f t="shared" si="252"/>
        <v>0</v>
      </c>
      <c r="Y248" s="451"/>
      <c r="Z248" s="451"/>
      <c r="AA248" s="451"/>
      <c r="AB248" s="483"/>
      <c r="AC248" s="483"/>
      <c r="AD248" s="451"/>
      <c r="AE248" s="483"/>
      <c r="AF248" s="483"/>
      <c r="AG248" s="445">
        <f>AH248+AI248</f>
        <v>630</v>
      </c>
      <c r="AH248" s="445">
        <v>600</v>
      </c>
      <c r="AI248" s="445">
        <v>30</v>
      </c>
      <c r="AJ248" s="451"/>
      <c r="AK248" s="451"/>
      <c r="AL248" s="15"/>
    </row>
    <row r="249" spans="1:41" ht="75">
      <c r="A249" s="19">
        <f t="shared" si="256"/>
        <v>12</v>
      </c>
      <c r="B249" s="328" t="s">
        <v>986</v>
      </c>
      <c r="C249" s="8" t="s">
        <v>498</v>
      </c>
      <c r="D249" s="8"/>
      <c r="E249" s="8" t="s">
        <v>326</v>
      </c>
      <c r="F249" s="19" t="s">
        <v>55</v>
      </c>
      <c r="G249" s="445">
        <f t="shared" si="251"/>
        <v>996.69</v>
      </c>
      <c r="H249" s="445">
        <v>949.23</v>
      </c>
      <c r="I249" s="445">
        <v>47.46</v>
      </c>
      <c r="J249" s="451"/>
      <c r="K249" s="483">
        <f>+L249+M249</f>
        <v>19</v>
      </c>
      <c r="L249" s="451">
        <f>+H249-R249</f>
        <v>0</v>
      </c>
      <c r="M249" s="451">
        <f>+I249-S249</f>
        <v>19</v>
      </c>
      <c r="N249" s="483"/>
      <c r="O249" s="451"/>
      <c r="P249" s="451"/>
      <c r="Q249" s="445">
        <f t="shared" ref="Q249" si="260">R249+S249</f>
        <v>977.69</v>
      </c>
      <c r="R249" s="445">
        <v>949.23</v>
      </c>
      <c r="S249" s="445">
        <v>28.46</v>
      </c>
      <c r="T249" s="451"/>
      <c r="U249" s="451">
        <f t="shared" si="253"/>
        <v>0</v>
      </c>
      <c r="V249" s="451">
        <f t="shared" si="254"/>
        <v>0</v>
      </c>
      <c r="W249" s="451">
        <f t="shared" si="254"/>
        <v>0</v>
      </c>
      <c r="X249" s="445">
        <f t="shared" si="252"/>
        <v>0</v>
      </c>
      <c r="Y249" s="451"/>
      <c r="Z249" s="451"/>
      <c r="AA249" s="451"/>
      <c r="AB249" s="483"/>
      <c r="AC249" s="483"/>
      <c r="AD249" s="451"/>
      <c r="AE249" s="483"/>
      <c r="AF249" s="483"/>
      <c r="AG249" s="445">
        <f t="shared" ref="AG249" si="261">AH249+AI249</f>
        <v>977.69</v>
      </c>
      <c r="AH249" s="445">
        <v>949.23</v>
      </c>
      <c r="AI249" s="445">
        <v>28.46</v>
      </c>
      <c r="AJ249" s="451"/>
      <c r="AK249" s="451"/>
      <c r="AL249" s="15"/>
    </row>
    <row r="250" spans="1:41" ht="30">
      <c r="A250" s="19">
        <f t="shared" si="256"/>
        <v>13</v>
      </c>
      <c r="B250" s="328" t="s">
        <v>487</v>
      </c>
      <c r="C250" s="8" t="s">
        <v>472</v>
      </c>
      <c r="D250" s="8"/>
      <c r="E250" s="8" t="s">
        <v>488</v>
      </c>
      <c r="F250" s="19" t="s">
        <v>55</v>
      </c>
      <c r="G250" s="445">
        <f t="shared" si="251"/>
        <v>420</v>
      </c>
      <c r="H250" s="445">
        <v>400</v>
      </c>
      <c r="I250" s="445">
        <v>20</v>
      </c>
      <c r="J250" s="451"/>
      <c r="K250" s="445">
        <f t="shared" ref="K250" si="262">L250+M250</f>
        <v>420</v>
      </c>
      <c r="L250" s="445">
        <v>400</v>
      </c>
      <c r="M250" s="445">
        <v>20</v>
      </c>
      <c r="N250" s="483"/>
      <c r="O250" s="451"/>
      <c r="P250" s="451"/>
      <c r="Q250" s="451"/>
      <c r="R250" s="483"/>
      <c r="S250" s="483"/>
      <c r="T250" s="544" t="s">
        <v>1174</v>
      </c>
      <c r="U250" s="451">
        <f t="shared" si="253"/>
        <v>0</v>
      </c>
      <c r="V250" s="451">
        <f t="shared" si="254"/>
        <v>0</v>
      </c>
      <c r="W250" s="451">
        <f t="shared" si="254"/>
        <v>0</v>
      </c>
      <c r="X250" s="445">
        <f t="shared" si="252"/>
        <v>0</v>
      </c>
      <c r="Y250" s="451"/>
      <c r="Z250" s="451"/>
      <c r="AA250" s="451"/>
      <c r="AB250" s="483"/>
      <c r="AC250" s="483"/>
      <c r="AD250" s="451"/>
      <c r="AE250" s="483"/>
      <c r="AF250" s="483"/>
      <c r="AG250" s="451"/>
      <c r="AH250" s="483"/>
      <c r="AI250" s="483"/>
      <c r="AJ250" s="451"/>
      <c r="AK250" s="451"/>
      <c r="AL250" s="15"/>
    </row>
    <row r="251" spans="1:41" s="14" customFormat="1" ht="23.25" customHeight="1">
      <c r="A251" s="4" t="s">
        <v>1003</v>
      </c>
      <c r="B251" s="507" t="s">
        <v>500</v>
      </c>
      <c r="C251" s="418"/>
      <c r="D251" s="418"/>
      <c r="E251" s="417">
        <v>0</v>
      </c>
      <c r="F251" s="417"/>
      <c r="G251" s="446">
        <f>SUM(G252:G283)</f>
        <v>11087.65</v>
      </c>
      <c r="H251" s="446">
        <f t="shared" ref="H251:AK251" si="263">SUM(H252:H283)</f>
        <v>10562.25</v>
      </c>
      <c r="I251" s="446">
        <f t="shared" si="263"/>
        <v>525.4</v>
      </c>
      <c r="J251" s="446">
        <f t="shared" si="263"/>
        <v>0</v>
      </c>
      <c r="K251" s="446">
        <f t="shared" si="263"/>
        <v>2042.37</v>
      </c>
      <c r="L251" s="446">
        <f t="shared" si="263"/>
        <v>1931.46</v>
      </c>
      <c r="M251" s="446">
        <f t="shared" si="263"/>
        <v>110.91</v>
      </c>
      <c r="N251" s="446">
        <f t="shared" si="263"/>
        <v>2042.37</v>
      </c>
      <c r="O251" s="446">
        <f t="shared" si="263"/>
        <v>1931.46</v>
      </c>
      <c r="P251" s="446">
        <f t="shared" si="263"/>
        <v>110.91</v>
      </c>
      <c r="Q251" s="446">
        <f t="shared" si="263"/>
        <v>11087.65</v>
      </c>
      <c r="R251" s="446">
        <f t="shared" si="263"/>
        <v>10562.249999999998</v>
      </c>
      <c r="S251" s="446">
        <f t="shared" si="263"/>
        <v>525.4</v>
      </c>
      <c r="T251" s="446"/>
      <c r="U251" s="446">
        <f t="shared" si="263"/>
        <v>7403.64</v>
      </c>
      <c r="V251" s="446">
        <f t="shared" si="263"/>
        <v>7022.44</v>
      </c>
      <c r="W251" s="446">
        <f t="shared" si="263"/>
        <v>381.2</v>
      </c>
      <c r="X251" s="446">
        <f t="shared" si="263"/>
        <v>1995</v>
      </c>
      <c r="Y251" s="446">
        <f t="shared" si="263"/>
        <v>1901</v>
      </c>
      <c r="Z251" s="446">
        <f t="shared" si="263"/>
        <v>94</v>
      </c>
      <c r="AA251" s="446">
        <f t="shared" si="263"/>
        <v>2686.14</v>
      </c>
      <c r="AB251" s="446">
        <f t="shared" si="263"/>
        <v>2548.54</v>
      </c>
      <c r="AC251" s="446">
        <f t="shared" si="263"/>
        <v>137.6</v>
      </c>
      <c r="AD251" s="446">
        <f t="shared" si="263"/>
        <v>2722.5</v>
      </c>
      <c r="AE251" s="446">
        <f t="shared" si="263"/>
        <v>2572.9</v>
      </c>
      <c r="AF251" s="446">
        <f t="shared" si="263"/>
        <v>149.60000000000002</v>
      </c>
      <c r="AG251" s="446">
        <f t="shared" si="263"/>
        <v>3684.0099999999998</v>
      </c>
      <c r="AH251" s="446">
        <f t="shared" si="263"/>
        <v>3539.81</v>
      </c>
      <c r="AI251" s="446">
        <f t="shared" si="263"/>
        <v>144.20000000000002</v>
      </c>
      <c r="AJ251" s="446"/>
      <c r="AK251" s="446">
        <f t="shared" si="263"/>
        <v>0</v>
      </c>
      <c r="AL251" s="16"/>
      <c r="AM251" s="368">
        <f>+'NĂM 2022'!K78+'NĂM 2023'!N98+'NĂM 2024'!J90+'NĂM 2025'!J86</f>
        <v>11087.65</v>
      </c>
      <c r="AN251" s="368">
        <f>+'NĂM 2022'!L78+'NĂM 2023'!O98+'NĂM 2024'!K90+'NĂM 2025'!K86</f>
        <v>10562.25</v>
      </c>
      <c r="AO251" s="368">
        <f>+'NĂM 2022'!M78+'NĂM 2023'!P98+'NĂM 2024'!L90+'NĂM 2025'!L86</f>
        <v>525.4</v>
      </c>
    </row>
    <row r="252" spans="1:41" ht="75">
      <c r="A252" s="8">
        <v>1</v>
      </c>
      <c r="B252" s="328" t="s">
        <v>501</v>
      </c>
      <c r="C252" s="8" t="s">
        <v>502</v>
      </c>
      <c r="D252" s="8"/>
      <c r="E252" s="8" t="s">
        <v>94</v>
      </c>
      <c r="F252" s="8" t="s">
        <v>52</v>
      </c>
      <c r="G252" s="505">
        <f>H252+I252</f>
        <v>430.5</v>
      </c>
      <c r="H252" s="505">
        <v>410</v>
      </c>
      <c r="I252" s="505">
        <v>20.5</v>
      </c>
      <c r="J252" s="511">
        <v>0</v>
      </c>
      <c r="K252" s="484">
        <f>+G252-Q252</f>
        <v>0</v>
      </c>
      <c r="L252" s="511"/>
      <c r="M252" s="511"/>
      <c r="N252" s="484"/>
      <c r="O252" s="511"/>
      <c r="P252" s="511"/>
      <c r="Q252" s="450">
        <f>+R252+S252</f>
        <v>430.5</v>
      </c>
      <c r="R252" s="511">
        <v>410</v>
      </c>
      <c r="S252" s="511">
        <v>20.5</v>
      </c>
      <c r="T252" s="511"/>
      <c r="U252" s="511">
        <f>+V252+W252</f>
        <v>430.5</v>
      </c>
      <c r="V252" s="511">
        <f>+Y252+AB252+AE252</f>
        <v>410</v>
      </c>
      <c r="W252" s="511">
        <f>+Z252+AC252+AF252</f>
        <v>20.5</v>
      </c>
      <c r="X252" s="505">
        <f>Y252+Z252</f>
        <v>430.5</v>
      </c>
      <c r="Y252" s="505">
        <v>410</v>
      </c>
      <c r="Z252" s="505">
        <v>20.5</v>
      </c>
      <c r="AA252" s="505"/>
      <c r="AB252" s="505"/>
      <c r="AC252" s="505"/>
      <c r="AD252" s="505"/>
      <c r="AE252" s="505"/>
      <c r="AF252" s="505"/>
      <c r="AG252" s="505"/>
      <c r="AH252" s="505"/>
      <c r="AI252" s="505"/>
      <c r="AJ252" s="505"/>
      <c r="AK252" s="451"/>
      <c r="AL252" s="15"/>
      <c r="AM252" s="506">
        <f>+G251-U251</f>
        <v>3684.0099999999993</v>
      </c>
      <c r="AN252" s="506">
        <f>+H251-V251</f>
        <v>3539.8100000000004</v>
      </c>
      <c r="AO252" s="506">
        <f>+I251-W251</f>
        <v>144.19999999999999</v>
      </c>
    </row>
    <row r="253" spans="1:41" ht="75">
      <c r="A253" s="8">
        <f>+A252+1</f>
        <v>2</v>
      </c>
      <c r="B253" s="328" t="s">
        <v>503</v>
      </c>
      <c r="C253" s="8" t="s">
        <v>504</v>
      </c>
      <c r="D253" s="8"/>
      <c r="E253" s="8" t="s">
        <v>94</v>
      </c>
      <c r="F253" s="8" t="s">
        <v>52</v>
      </c>
      <c r="G253" s="505">
        <f>H253+I253</f>
        <v>430.5</v>
      </c>
      <c r="H253" s="505">
        <v>410</v>
      </c>
      <c r="I253" s="505">
        <v>20.5</v>
      </c>
      <c r="J253" s="511">
        <v>0</v>
      </c>
      <c r="K253" s="484">
        <f t="shared" ref="K253:K275" si="264">+G253-Q253</f>
        <v>0</v>
      </c>
      <c r="L253" s="511"/>
      <c r="M253" s="511"/>
      <c r="N253" s="484"/>
      <c r="O253" s="511"/>
      <c r="P253" s="511"/>
      <c r="Q253" s="450">
        <f t="shared" ref="Q253:Q274" si="265">+R253+S253</f>
        <v>430.5</v>
      </c>
      <c r="R253" s="511">
        <v>410</v>
      </c>
      <c r="S253" s="511">
        <v>20.5</v>
      </c>
      <c r="T253" s="511"/>
      <c r="U253" s="511">
        <f t="shared" ref="U253:U283" si="266">+V253+W253</f>
        <v>430.5</v>
      </c>
      <c r="V253" s="511">
        <f t="shared" ref="V253:W277" si="267">+Y253+AB253+AE253</f>
        <v>410</v>
      </c>
      <c r="W253" s="511">
        <f t="shared" si="267"/>
        <v>20.5</v>
      </c>
      <c r="X253" s="505">
        <f>Y253+Z253</f>
        <v>430.5</v>
      </c>
      <c r="Y253" s="505">
        <v>410</v>
      </c>
      <c r="Z253" s="505">
        <v>20.5</v>
      </c>
      <c r="AA253" s="505"/>
      <c r="AB253" s="505"/>
      <c r="AC253" s="505"/>
      <c r="AD253" s="505"/>
      <c r="AE253" s="505"/>
      <c r="AF253" s="505"/>
      <c r="AG253" s="505"/>
      <c r="AH253" s="505"/>
      <c r="AI253" s="505"/>
      <c r="AJ253" s="505"/>
      <c r="AK253" s="451"/>
      <c r="AL253" s="15"/>
      <c r="AM253" s="506">
        <f>+AM252-AG251</f>
        <v>0</v>
      </c>
      <c r="AN253" s="506">
        <f t="shared" ref="AN253:AO253" si="268">+AN252-AH251</f>
        <v>0</v>
      </c>
      <c r="AO253" s="506">
        <f t="shared" si="268"/>
        <v>0</v>
      </c>
    </row>
    <row r="254" spans="1:41" ht="75">
      <c r="A254" s="8">
        <f t="shared" ref="A254:A283" si="269">+A253+1</f>
        <v>3</v>
      </c>
      <c r="B254" s="328" t="s">
        <v>505</v>
      </c>
      <c r="C254" s="8" t="s">
        <v>506</v>
      </c>
      <c r="D254" s="8"/>
      <c r="E254" s="8" t="s">
        <v>94</v>
      </c>
      <c r="F254" s="8" t="s">
        <v>52</v>
      </c>
      <c r="G254" s="505">
        <f t="shared" ref="G254:G283" si="270">H254+I254</f>
        <v>430.5</v>
      </c>
      <c r="H254" s="505">
        <v>410</v>
      </c>
      <c r="I254" s="505">
        <v>20.5</v>
      </c>
      <c r="J254" s="511">
        <v>0</v>
      </c>
      <c r="K254" s="484">
        <f t="shared" si="264"/>
        <v>0</v>
      </c>
      <c r="L254" s="511"/>
      <c r="M254" s="511"/>
      <c r="N254" s="484"/>
      <c r="O254" s="511"/>
      <c r="P254" s="511"/>
      <c r="Q254" s="450">
        <f t="shared" si="265"/>
        <v>430.5</v>
      </c>
      <c r="R254" s="511">
        <v>410</v>
      </c>
      <c r="S254" s="511">
        <v>20.5</v>
      </c>
      <c r="T254" s="511"/>
      <c r="U254" s="511">
        <f t="shared" si="266"/>
        <v>430.5</v>
      </c>
      <c r="V254" s="511">
        <f t="shared" si="267"/>
        <v>410</v>
      </c>
      <c r="W254" s="511">
        <f t="shared" si="267"/>
        <v>20.5</v>
      </c>
      <c r="X254" s="505">
        <f>Y254+Z254</f>
        <v>430.5</v>
      </c>
      <c r="Y254" s="505">
        <v>410</v>
      </c>
      <c r="Z254" s="505">
        <v>20.5</v>
      </c>
      <c r="AA254" s="505"/>
      <c r="AB254" s="505"/>
      <c r="AC254" s="505"/>
      <c r="AD254" s="505"/>
      <c r="AE254" s="505"/>
      <c r="AF254" s="505"/>
      <c r="AG254" s="505"/>
      <c r="AH254" s="505"/>
      <c r="AI254" s="505"/>
      <c r="AJ254" s="505"/>
      <c r="AK254" s="451"/>
      <c r="AL254" s="15"/>
    </row>
    <row r="255" spans="1:41" ht="75">
      <c r="A255" s="8">
        <f t="shared" si="269"/>
        <v>4</v>
      </c>
      <c r="B255" s="376" t="s">
        <v>817</v>
      </c>
      <c r="C255" s="8" t="s">
        <v>507</v>
      </c>
      <c r="D255" s="8"/>
      <c r="E255" s="8" t="s">
        <v>159</v>
      </c>
      <c r="F255" s="8" t="s">
        <v>52</v>
      </c>
      <c r="G255" s="505">
        <f>H255+I255</f>
        <v>100.7</v>
      </c>
      <c r="H255" s="505">
        <v>96</v>
      </c>
      <c r="I255" s="505">
        <v>4.7</v>
      </c>
      <c r="J255" s="511">
        <v>0</v>
      </c>
      <c r="K255" s="484">
        <f t="shared" si="264"/>
        <v>0</v>
      </c>
      <c r="L255" s="511"/>
      <c r="M255" s="511"/>
      <c r="N255" s="484"/>
      <c r="O255" s="511"/>
      <c r="P255" s="511"/>
      <c r="Q255" s="450">
        <f t="shared" si="265"/>
        <v>100.7</v>
      </c>
      <c r="R255" s="511">
        <v>96</v>
      </c>
      <c r="S255" s="511">
        <v>4.7</v>
      </c>
      <c r="T255" s="511"/>
      <c r="U255" s="511">
        <f t="shared" si="266"/>
        <v>100.7</v>
      </c>
      <c r="V255" s="511">
        <f t="shared" si="267"/>
        <v>96</v>
      </c>
      <c r="W255" s="511">
        <f t="shared" si="267"/>
        <v>4.7</v>
      </c>
      <c r="X255" s="505">
        <f t="shared" ref="X255:X283" si="271">Y255+Z255</f>
        <v>100.7</v>
      </c>
      <c r="Y255" s="505">
        <v>96</v>
      </c>
      <c r="Z255" s="505">
        <v>4.7</v>
      </c>
      <c r="AA255" s="505"/>
      <c r="AB255" s="505"/>
      <c r="AC255" s="505"/>
      <c r="AD255" s="505"/>
      <c r="AE255" s="505"/>
      <c r="AF255" s="505"/>
      <c r="AG255" s="505"/>
      <c r="AH255" s="505"/>
      <c r="AI255" s="505"/>
      <c r="AJ255" s="505"/>
      <c r="AK255" s="451"/>
      <c r="AL255" s="15"/>
    </row>
    <row r="256" spans="1:41" ht="75">
      <c r="A256" s="8">
        <f t="shared" si="269"/>
        <v>5</v>
      </c>
      <c r="B256" s="328" t="s">
        <v>508</v>
      </c>
      <c r="C256" s="8" t="s">
        <v>509</v>
      </c>
      <c r="D256" s="8"/>
      <c r="E256" s="8" t="s">
        <v>510</v>
      </c>
      <c r="F256" s="8" t="s">
        <v>52</v>
      </c>
      <c r="G256" s="505">
        <f>H256+I256</f>
        <v>503</v>
      </c>
      <c r="H256" s="505">
        <v>480</v>
      </c>
      <c r="I256" s="505">
        <v>23</v>
      </c>
      <c r="J256" s="511">
        <v>0</v>
      </c>
      <c r="K256" s="484">
        <f t="shared" si="264"/>
        <v>0</v>
      </c>
      <c r="L256" s="511"/>
      <c r="M256" s="511"/>
      <c r="N256" s="484"/>
      <c r="O256" s="511"/>
      <c r="P256" s="511"/>
      <c r="Q256" s="450">
        <f t="shared" si="265"/>
        <v>503</v>
      </c>
      <c r="R256" s="511">
        <v>480</v>
      </c>
      <c r="S256" s="511">
        <v>23</v>
      </c>
      <c r="T256" s="511"/>
      <c r="U256" s="511">
        <f t="shared" si="266"/>
        <v>503</v>
      </c>
      <c r="V256" s="511">
        <f t="shared" si="267"/>
        <v>480</v>
      </c>
      <c r="W256" s="511">
        <f t="shared" si="267"/>
        <v>23</v>
      </c>
      <c r="X256" s="505">
        <f>Y256+Z256</f>
        <v>503</v>
      </c>
      <c r="Y256" s="505">
        <v>480</v>
      </c>
      <c r="Z256" s="505">
        <v>23</v>
      </c>
      <c r="AA256" s="505"/>
      <c r="AB256" s="505"/>
      <c r="AC256" s="505"/>
      <c r="AD256" s="505"/>
      <c r="AE256" s="505"/>
      <c r="AF256" s="505"/>
      <c r="AG256" s="505"/>
      <c r="AH256" s="505"/>
      <c r="AI256" s="505"/>
      <c r="AJ256" s="505"/>
      <c r="AK256" s="451"/>
      <c r="AL256" s="15"/>
    </row>
    <row r="257" spans="1:44" ht="75">
      <c r="A257" s="8">
        <f t="shared" si="269"/>
        <v>6</v>
      </c>
      <c r="B257" s="376" t="s">
        <v>818</v>
      </c>
      <c r="C257" s="8" t="s">
        <v>511</v>
      </c>
      <c r="D257" s="8"/>
      <c r="E257" s="8" t="s">
        <v>159</v>
      </c>
      <c r="F257" s="8" t="s">
        <v>52</v>
      </c>
      <c r="G257" s="505">
        <f>H257+I257</f>
        <v>99.8</v>
      </c>
      <c r="H257" s="505">
        <v>95</v>
      </c>
      <c r="I257" s="505">
        <v>4.8</v>
      </c>
      <c r="J257" s="511">
        <v>0</v>
      </c>
      <c r="K257" s="484">
        <f t="shared" si="264"/>
        <v>0</v>
      </c>
      <c r="L257" s="511"/>
      <c r="M257" s="511"/>
      <c r="N257" s="484"/>
      <c r="O257" s="511"/>
      <c r="P257" s="511"/>
      <c r="Q257" s="450">
        <f t="shared" si="265"/>
        <v>99.8</v>
      </c>
      <c r="R257" s="511">
        <v>95</v>
      </c>
      <c r="S257" s="511">
        <v>4.8</v>
      </c>
      <c r="T257" s="511"/>
      <c r="U257" s="511">
        <f t="shared" si="266"/>
        <v>99.8</v>
      </c>
      <c r="V257" s="511">
        <f t="shared" si="267"/>
        <v>95</v>
      </c>
      <c r="W257" s="511">
        <f t="shared" si="267"/>
        <v>4.8</v>
      </c>
      <c r="X257" s="505">
        <f>Y257+Z257</f>
        <v>99.8</v>
      </c>
      <c r="Y257" s="505">
        <v>95</v>
      </c>
      <c r="Z257" s="505">
        <v>4.8</v>
      </c>
      <c r="AA257" s="505"/>
      <c r="AB257" s="505"/>
      <c r="AC257" s="505"/>
      <c r="AD257" s="505"/>
      <c r="AE257" s="505"/>
      <c r="AF257" s="505"/>
      <c r="AG257" s="505"/>
      <c r="AH257" s="505"/>
      <c r="AI257" s="505"/>
      <c r="AJ257" s="505"/>
      <c r="AK257" s="451"/>
      <c r="AL257" s="15"/>
    </row>
    <row r="258" spans="1:44" ht="75">
      <c r="A258" s="8">
        <f t="shared" si="269"/>
        <v>7</v>
      </c>
      <c r="B258" s="328" t="s">
        <v>512</v>
      </c>
      <c r="C258" s="8" t="s">
        <v>513</v>
      </c>
      <c r="D258" s="8"/>
      <c r="E258" s="8" t="s">
        <v>94</v>
      </c>
      <c r="F258" s="8" t="s">
        <v>53</v>
      </c>
      <c r="G258" s="505">
        <f t="shared" si="270"/>
        <v>483</v>
      </c>
      <c r="H258" s="505">
        <v>460</v>
      </c>
      <c r="I258" s="505">
        <v>23</v>
      </c>
      <c r="J258" s="451">
        <v>0</v>
      </c>
      <c r="K258" s="484"/>
      <c r="L258" s="451"/>
      <c r="M258" s="451"/>
      <c r="N258" s="483">
        <f>+O258+P258</f>
        <v>44</v>
      </c>
      <c r="O258" s="451">
        <f t="shared" ref="O258:P261" si="272">+R258-H258</f>
        <v>40</v>
      </c>
      <c r="P258" s="451">
        <f t="shared" si="272"/>
        <v>4</v>
      </c>
      <c r="Q258" s="450">
        <f t="shared" si="265"/>
        <v>527</v>
      </c>
      <c r="R258" s="451">
        <v>500</v>
      </c>
      <c r="S258" s="451">
        <v>27</v>
      </c>
      <c r="T258" s="451"/>
      <c r="U258" s="511">
        <f t="shared" si="266"/>
        <v>527</v>
      </c>
      <c r="V258" s="511">
        <f t="shared" si="267"/>
        <v>500</v>
      </c>
      <c r="W258" s="511">
        <f t="shared" si="267"/>
        <v>27</v>
      </c>
      <c r="X258" s="445">
        <f t="shared" si="271"/>
        <v>0</v>
      </c>
      <c r="Y258" s="451"/>
      <c r="Z258" s="451"/>
      <c r="AA258" s="451">
        <f>+AB258+AC258</f>
        <v>527</v>
      </c>
      <c r="AB258" s="451">
        <v>500</v>
      </c>
      <c r="AC258" s="451">
        <v>27</v>
      </c>
      <c r="AD258" s="451"/>
      <c r="AE258" s="451"/>
      <c r="AF258" s="451"/>
      <c r="AG258" s="451"/>
      <c r="AH258" s="451"/>
      <c r="AI258" s="451"/>
      <c r="AJ258" s="451"/>
      <c r="AK258" s="451"/>
      <c r="AL258" s="15"/>
    </row>
    <row r="259" spans="1:44" ht="75">
      <c r="A259" s="8">
        <f t="shared" si="269"/>
        <v>8</v>
      </c>
      <c r="B259" s="328" t="s">
        <v>514</v>
      </c>
      <c r="C259" s="8" t="s">
        <v>515</v>
      </c>
      <c r="D259" s="8"/>
      <c r="E259" s="8" t="s">
        <v>286</v>
      </c>
      <c r="F259" s="8" t="s">
        <v>53</v>
      </c>
      <c r="G259" s="505">
        <f>H259+I259</f>
        <v>483</v>
      </c>
      <c r="H259" s="505">
        <v>460</v>
      </c>
      <c r="I259" s="505">
        <v>23</v>
      </c>
      <c r="J259" s="451">
        <v>0</v>
      </c>
      <c r="K259" s="484"/>
      <c r="L259" s="451"/>
      <c r="M259" s="451"/>
      <c r="N259" s="483">
        <f>+O259+P259</f>
        <v>44</v>
      </c>
      <c r="O259" s="451">
        <f t="shared" si="272"/>
        <v>40</v>
      </c>
      <c r="P259" s="451">
        <f t="shared" si="272"/>
        <v>4</v>
      </c>
      <c r="Q259" s="450">
        <f t="shared" si="265"/>
        <v>527</v>
      </c>
      <c r="R259" s="451">
        <v>500</v>
      </c>
      <c r="S259" s="451">
        <v>27</v>
      </c>
      <c r="T259" s="451"/>
      <c r="U259" s="511">
        <f t="shared" si="266"/>
        <v>527</v>
      </c>
      <c r="V259" s="511">
        <f t="shared" si="267"/>
        <v>500</v>
      </c>
      <c r="W259" s="511">
        <f t="shared" si="267"/>
        <v>27</v>
      </c>
      <c r="X259" s="445">
        <f t="shared" si="271"/>
        <v>0</v>
      </c>
      <c r="Y259" s="451"/>
      <c r="Z259" s="451"/>
      <c r="AA259" s="451">
        <f>+AB259+AC259</f>
        <v>527</v>
      </c>
      <c r="AB259" s="451">
        <v>500</v>
      </c>
      <c r="AC259" s="451">
        <v>27</v>
      </c>
      <c r="AD259" s="451"/>
      <c r="AE259" s="451"/>
      <c r="AF259" s="451"/>
      <c r="AG259" s="451"/>
      <c r="AH259" s="451"/>
      <c r="AI259" s="451"/>
      <c r="AJ259" s="451"/>
      <c r="AK259" s="451"/>
      <c r="AL259" s="15"/>
    </row>
    <row r="260" spans="1:44" ht="75">
      <c r="A260" s="8">
        <f t="shared" si="269"/>
        <v>9</v>
      </c>
      <c r="B260" s="328" t="s">
        <v>516</v>
      </c>
      <c r="C260" s="8" t="s">
        <v>511</v>
      </c>
      <c r="D260" s="8"/>
      <c r="E260" s="8" t="s">
        <v>94</v>
      </c>
      <c r="F260" s="8" t="s">
        <v>53</v>
      </c>
      <c r="G260" s="505">
        <f t="shared" si="270"/>
        <v>430.5</v>
      </c>
      <c r="H260" s="505">
        <v>410</v>
      </c>
      <c r="I260" s="505">
        <v>20.5</v>
      </c>
      <c r="J260" s="451">
        <v>0</v>
      </c>
      <c r="K260" s="484"/>
      <c r="L260" s="451"/>
      <c r="M260" s="451"/>
      <c r="N260" s="483">
        <f>+O260+P260</f>
        <v>87.9</v>
      </c>
      <c r="O260" s="451">
        <f t="shared" si="272"/>
        <v>80</v>
      </c>
      <c r="P260" s="451">
        <f t="shared" si="272"/>
        <v>7.8999999999999986</v>
      </c>
      <c r="Q260" s="450">
        <f t="shared" si="265"/>
        <v>518.4</v>
      </c>
      <c r="R260" s="451">
        <v>490</v>
      </c>
      <c r="S260" s="451">
        <v>28.4</v>
      </c>
      <c r="T260" s="451"/>
      <c r="U260" s="511">
        <f t="shared" si="266"/>
        <v>518.4</v>
      </c>
      <c r="V260" s="511">
        <f t="shared" si="267"/>
        <v>490</v>
      </c>
      <c r="W260" s="511">
        <f t="shared" si="267"/>
        <v>28.4</v>
      </c>
      <c r="X260" s="445">
        <f t="shared" si="271"/>
        <v>0</v>
      </c>
      <c r="Y260" s="451"/>
      <c r="Z260" s="451"/>
      <c r="AA260" s="451"/>
      <c r="AB260" s="451"/>
      <c r="AC260" s="451"/>
      <c r="AD260" s="451">
        <f>+AE260+AF260</f>
        <v>518.4</v>
      </c>
      <c r="AE260" s="451">
        <v>490</v>
      </c>
      <c r="AF260" s="451">
        <v>28.4</v>
      </c>
      <c r="AG260" s="451"/>
      <c r="AH260" s="451"/>
      <c r="AI260" s="451"/>
      <c r="AJ260" s="451"/>
      <c r="AK260" s="451"/>
      <c r="AL260" s="15"/>
    </row>
    <row r="261" spans="1:44" ht="75">
      <c r="A261" s="8">
        <f t="shared" si="269"/>
        <v>10</v>
      </c>
      <c r="B261" s="328" t="s">
        <v>809</v>
      </c>
      <c r="C261" s="8" t="s">
        <v>334</v>
      </c>
      <c r="D261" s="8"/>
      <c r="E261" s="8" t="s">
        <v>94</v>
      </c>
      <c r="F261" s="8" t="s">
        <v>53</v>
      </c>
      <c r="G261" s="505">
        <f t="shared" si="270"/>
        <v>430.5</v>
      </c>
      <c r="H261" s="505">
        <v>410</v>
      </c>
      <c r="I261" s="505">
        <v>20.5</v>
      </c>
      <c r="J261" s="451">
        <v>0</v>
      </c>
      <c r="K261" s="484"/>
      <c r="L261" s="451"/>
      <c r="M261" s="451"/>
      <c r="N261" s="483">
        <f>+O261+P261</f>
        <v>43.5</v>
      </c>
      <c r="O261" s="451">
        <f t="shared" si="272"/>
        <v>40</v>
      </c>
      <c r="P261" s="451">
        <f t="shared" si="272"/>
        <v>3.5</v>
      </c>
      <c r="Q261" s="450">
        <f t="shared" si="265"/>
        <v>474</v>
      </c>
      <c r="R261" s="451">
        <v>450</v>
      </c>
      <c r="S261" s="451">
        <v>24</v>
      </c>
      <c r="T261" s="451"/>
      <c r="U261" s="511">
        <f t="shared" si="266"/>
        <v>474</v>
      </c>
      <c r="V261" s="511">
        <f t="shared" si="267"/>
        <v>450</v>
      </c>
      <c r="W261" s="511">
        <f t="shared" si="267"/>
        <v>24</v>
      </c>
      <c r="X261" s="445">
        <f t="shared" si="271"/>
        <v>0</v>
      </c>
      <c r="Y261" s="451"/>
      <c r="Z261" s="451"/>
      <c r="AA261" s="451">
        <f>+AB261+AC261</f>
        <v>474</v>
      </c>
      <c r="AB261" s="451">
        <v>450</v>
      </c>
      <c r="AC261" s="451">
        <v>24</v>
      </c>
      <c r="AD261" s="451"/>
      <c r="AE261" s="451"/>
      <c r="AF261" s="451"/>
      <c r="AG261" s="451"/>
      <c r="AH261" s="451"/>
      <c r="AI261" s="451"/>
      <c r="AJ261" s="451"/>
      <c r="AK261" s="451"/>
      <c r="AL261" s="15"/>
    </row>
    <row r="262" spans="1:44" ht="75">
      <c r="A262" s="8">
        <f t="shared" si="269"/>
        <v>11</v>
      </c>
      <c r="B262" s="376" t="s">
        <v>819</v>
      </c>
      <c r="C262" s="375" t="s">
        <v>334</v>
      </c>
      <c r="D262" s="8"/>
      <c r="E262" s="8" t="s">
        <v>159</v>
      </c>
      <c r="F262" s="8" t="s">
        <v>53</v>
      </c>
      <c r="G262" s="505">
        <f t="shared" si="270"/>
        <v>420</v>
      </c>
      <c r="H262" s="505">
        <v>400</v>
      </c>
      <c r="I262" s="505">
        <v>20</v>
      </c>
      <c r="J262" s="451">
        <v>0</v>
      </c>
      <c r="K262" s="484">
        <f>+L262+M262</f>
        <v>209</v>
      </c>
      <c r="L262" s="451">
        <f>+H262-R262</f>
        <v>200</v>
      </c>
      <c r="M262" s="451">
        <f>+I262-S262</f>
        <v>9</v>
      </c>
      <c r="N262" s="483"/>
      <c r="O262" s="451"/>
      <c r="P262" s="451"/>
      <c r="Q262" s="450">
        <f t="shared" si="265"/>
        <v>211</v>
      </c>
      <c r="R262" s="451">
        <v>200</v>
      </c>
      <c r="S262" s="451">
        <v>11</v>
      </c>
      <c r="T262" s="451"/>
      <c r="U262" s="511">
        <f t="shared" si="266"/>
        <v>211</v>
      </c>
      <c r="V262" s="511">
        <f t="shared" si="267"/>
        <v>200</v>
      </c>
      <c r="W262" s="511">
        <f t="shared" si="267"/>
        <v>11</v>
      </c>
      <c r="X262" s="445">
        <f t="shared" si="271"/>
        <v>0</v>
      </c>
      <c r="Y262" s="451"/>
      <c r="Z262" s="451"/>
      <c r="AA262" s="451">
        <f>+AB262+AC262</f>
        <v>211</v>
      </c>
      <c r="AB262" s="451">
        <v>200</v>
      </c>
      <c r="AC262" s="451">
        <v>11</v>
      </c>
      <c r="AD262" s="451"/>
      <c r="AE262" s="451"/>
      <c r="AF262" s="451"/>
      <c r="AG262" s="451"/>
      <c r="AH262" s="451"/>
      <c r="AI262" s="451"/>
      <c r="AJ262" s="451"/>
      <c r="AK262" s="451"/>
      <c r="AL262" s="15"/>
    </row>
    <row r="263" spans="1:44" ht="75">
      <c r="A263" s="8">
        <f t="shared" si="269"/>
        <v>12</v>
      </c>
      <c r="B263" s="376" t="s">
        <v>820</v>
      </c>
      <c r="C263" s="8" t="s">
        <v>511</v>
      </c>
      <c r="D263" s="8"/>
      <c r="E263" s="8" t="s">
        <v>159</v>
      </c>
      <c r="F263" s="8" t="s">
        <v>53</v>
      </c>
      <c r="G263" s="505">
        <f t="shared" si="270"/>
        <v>420</v>
      </c>
      <c r="H263" s="505">
        <v>400</v>
      </c>
      <c r="I263" s="505">
        <v>20</v>
      </c>
      <c r="J263" s="451">
        <v>0</v>
      </c>
      <c r="K263" s="484">
        <f>+L263+M263</f>
        <v>104.85999999999999</v>
      </c>
      <c r="L263" s="451">
        <f>+H263-R263</f>
        <v>101.45999999999998</v>
      </c>
      <c r="M263" s="451">
        <f>+I263-S263</f>
        <v>3.3999999999999986</v>
      </c>
      <c r="N263" s="483"/>
      <c r="O263" s="451"/>
      <c r="P263" s="451"/>
      <c r="Q263" s="450">
        <f t="shared" si="265"/>
        <v>315.14000000000004</v>
      </c>
      <c r="R263" s="451">
        <v>298.54000000000002</v>
      </c>
      <c r="S263" s="451">
        <v>16.600000000000001</v>
      </c>
      <c r="T263" s="451"/>
      <c r="U263" s="511">
        <f t="shared" si="266"/>
        <v>315.14000000000004</v>
      </c>
      <c r="V263" s="511">
        <f t="shared" si="267"/>
        <v>298.54000000000002</v>
      </c>
      <c r="W263" s="511">
        <f t="shared" si="267"/>
        <v>16.600000000000001</v>
      </c>
      <c r="X263" s="445">
        <f t="shared" si="271"/>
        <v>0</v>
      </c>
      <c r="Y263" s="451"/>
      <c r="Z263" s="451"/>
      <c r="AA263" s="451">
        <f>+AB263+AC263</f>
        <v>315.14000000000004</v>
      </c>
      <c r="AB263" s="451">
        <v>298.54000000000002</v>
      </c>
      <c r="AC263" s="451">
        <v>16.600000000000001</v>
      </c>
      <c r="AD263" s="451"/>
      <c r="AE263" s="451"/>
      <c r="AF263" s="451"/>
      <c r="AG263" s="451"/>
      <c r="AH263" s="451"/>
      <c r="AI263" s="451"/>
      <c r="AJ263" s="451"/>
      <c r="AK263" s="451"/>
      <c r="AL263" s="15"/>
    </row>
    <row r="264" spans="1:44" ht="75">
      <c r="A264" s="8">
        <f t="shared" si="269"/>
        <v>13</v>
      </c>
      <c r="B264" s="328" t="s">
        <v>517</v>
      </c>
      <c r="C264" s="8" t="s">
        <v>506</v>
      </c>
      <c r="D264" s="8"/>
      <c r="E264" s="8" t="s">
        <v>159</v>
      </c>
      <c r="F264" s="8" t="s">
        <v>53</v>
      </c>
      <c r="G264" s="505">
        <f t="shared" si="270"/>
        <v>420</v>
      </c>
      <c r="H264" s="505">
        <v>400</v>
      </c>
      <c r="I264" s="505">
        <v>20</v>
      </c>
      <c r="J264" s="451">
        <v>0</v>
      </c>
      <c r="K264" s="484"/>
      <c r="L264" s="451"/>
      <c r="M264" s="451"/>
      <c r="N264" s="483">
        <f>+O264+P264</f>
        <v>212</v>
      </c>
      <c r="O264" s="451">
        <f t="shared" ref="O264:P268" si="273">+R264-H264</f>
        <v>200</v>
      </c>
      <c r="P264" s="451">
        <f t="shared" si="273"/>
        <v>12</v>
      </c>
      <c r="Q264" s="450">
        <f t="shared" si="265"/>
        <v>632</v>
      </c>
      <c r="R264" s="451">
        <v>600</v>
      </c>
      <c r="S264" s="451">
        <v>32</v>
      </c>
      <c r="T264" s="451"/>
      <c r="U264" s="511">
        <f t="shared" si="266"/>
        <v>632</v>
      </c>
      <c r="V264" s="511">
        <f t="shared" si="267"/>
        <v>600</v>
      </c>
      <c r="W264" s="511">
        <f t="shared" si="267"/>
        <v>32</v>
      </c>
      <c r="X264" s="445">
        <f t="shared" si="271"/>
        <v>0</v>
      </c>
      <c r="Y264" s="451"/>
      <c r="Z264" s="451"/>
      <c r="AA264" s="451">
        <f>+AB264+AC264</f>
        <v>632</v>
      </c>
      <c r="AB264" s="451">
        <v>600</v>
      </c>
      <c r="AC264" s="451">
        <v>32</v>
      </c>
      <c r="AD264" s="451"/>
      <c r="AE264" s="451"/>
      <c r="AF264" s="451"/>
      <c r="AG264" s="451"/>
      <c r="AH264" s="451"/>
      <c r="AI264" s="451"/>
      <c r="AJ264" s="451"/>
      <c r="AK264" s="451"/>
      <c r="AL264" s="15"/>
    </row>
    <row r="265" spans="1:44" ht="30">
      <c r="A265" s="8">
        <f t="shared" si="269"/>
        <v>14</v>
      </c>
      <c r="B265" s="328" t="s">
        <v>524</v>
      </c>
      <c r="C265" s="8" t="s">
        <v>513</v>
      </c>
      <c r="D265" s="8"/>
      <c r="E265" s="8" t="s">
        <v>525</v>
      </c>
      <c r="F265" s="8" t="s">
        <v>54</v>
      </c>
      <c r="G265" s="445">
        <f t="shared" si="270"/>
        <v>210</v>
      </c>
      <c r="H265" s="445">
        <v>200</v>
      </c>
      <c r="I265" s="445">
        <v>10</v>
      </c>
      <c r="J265" s="451">
        <v>0</v>
      </c>
      <c r="K265" s="484"/>
      <c r="L265" s="451"/>
      <c r="M265" s="451"/>
      <c r="N265" s="483">
        <f>+O265+P265</f>
        <v>267</v>
      </c>
      <c r="O265" s="451">
        <f t="shared" si="273"/>
        <v>250</v>
      </c>
      <c r="P265" s="451">
        <f t="shared" si="273"/>
        <v>17</v>
      </c>
      <c r="Q265" s="450">
        <f t="shared" si="265"/>
        <v>477</v>
      </c>
      <c r="R265" s="451">
        <v>450</v>
      </c>
      <c r="S265" s="451">
        <v>27</v>
      </c>
      <c r="T265" s="451"/>
      <c r="U265" s="511">
        <f t="shared" si="266"/>
        <v>477</v>
      </c>
      <c r="V265" s="511">
        <f t="shared" si="267"/>
        <v>450</v>
      </c>
      <c r="W265" s="511">
        <f t="shared" si="267"/>
        <v>27</v>
      </c>
      <c r="X265" s="445">
        <f t="shared" si="271"/>
        <v>0</v>
      </c>
      <c r="Y265" s="451"/>
      <c r="Z265" s="451"/>
      <c r="AA265" s="451"/>
      <c r="AB265" s="451"/>
      <c r="AC265" s="451"/>
      <c r="AD265" s="451">
        <f>+AE265+AF265</f>
        <v>477</v>
      </c>
      <c r="AE265" s="451">
        <v>450</v>
      </c>
      <c r="AF265" s="451">
        <v>27</v>
      </c>
      <c r="AG265" s="451"/>
      <c r="AH265" s="451"/>
      <c r="AI265" s="451"/>
      <c r="AJ265" s="451"/>
      <c r="AK265" s="451"/>
      <c r="AL265" s="15"/>
    </row>
    <row r="266" spans="1:44" ht="75">
      <c r="A266" s="8">
        <f t="shared" si="269"/>
        <v>15</v>
      </c>
      <c r="B266" s="376" t="s">
        <v>821</v>
      </c>
      <c r="C266" s="375" t="s">
        <v>334</v>
      </c>
      <c r="D266" s="8"/>
      <c r="E266" s="8" t="s">
        <v>159</v>
      </c>
      <c r="F266" s="8" t="s">
        <v>54</v>
      </c>
      <c r="G266" s="505">
        <f>H266+I266</f>
        <v>452.5</v>
      </c>
      <c r="H266" s="505">
        <v>431</v>
      </c>
      <c r="I266" s="505">
        <v>21.5</v>
      </c>
      <c r="J266" s="451">
        <v>0</v>
      </c>
      <c r="K266" s="484"/>
      <c r="L266" s="451"/>
      <c r="M266" s="451"/>
      <c r="N266" s="483">
        <f>+O266+P266</f>
        <v>322.79999999999995</v>
      </c>
      <c r="O266" s="451">
        <f t="shared" si="273"/>
        <v>301.89999999999998</v>
      </c>
      <c r="P266" s="451">
        <f t="shared" si="273"/>
        <v>20.9</v>
      </c>
      <c r="Q266" s="450">
        <f t="shared" si="265"/>
        <v>775.3</v>
      </c>
      <c r="R266" s="451">
        <v>732.9</v>
      </c>
      <c r="S266" s="451">
        <v>42.4</v>
      </c>
      <c r="T266" s="451"/>
      <c r="U266" s="511">
        <f t="shared" si="266"/>
        <v>775.3</v>
      </c>
      <c r="V266" s="511">
        <f t="shared" si="267"/>
        <v>732.9</v>
      </c>
      <c r="W266" s="511">
        <f t="shared" si="267"/>
        <v>42.4</v>
      </c>
      <c r="X266" s="445">
        <f t="shared" si="271"/>
        <v>0</v>
      </c>
      <c r="Y266" s="451"/>
      <c r="Z266" s="451"/>
      <c r="AA266" s="451"/>
      <c r="AB266" s="451"/>
      <c r="AC266" s="451"/>
      <c r="AD266" s="451">
        <f>+AE266+AF266</f>
        <v>775.3</v>
      </c>
      <c r="AE266" s="451">
        <v>732.9</v>
      </c>
      <c r="AF266" s="451">
        <v>42.4</v>
      </c>
      <c r="AG266" s="451"/>
      <c r="AH266" s="451"/>
      <c r="AI266" s="451"/>
      <c r="AJ266" s="451"/>
      <c r="AK266" s="451"/>
      <c r="AL266" s="15"/>
    </row>
    <row r="267" spans="1:44" s="365" customFormat="1" ht="75">
      <c r="A267" s="8">
        <f t="shared" si="269"/>
        <v>16</v>
      </c>
      <c r="B267" s="328" t="s">
        <v>526</v>
      </c>
      <c r="C267" s="8" t="s">
        <v>515</v>
      </c>
      <c r="D267" s="8"/>
      <c r="E267" s="8" t="s">
        <v>527</v>
      </c>
      <c r="F267" s="8" t="s">
        <v>54</v>
      </c>
      <c r="G267" s="505">
        <f t="shared" si="270"/>
        <v>420</v>
      </c>
      <c r="H267" s="505">
        <v>400</v>
      </c>
      <c r="I267" s="505">
        <v>20</v>
      </c>
      <c r="J267" s="451">
        <v>0</v>
      </c>
      <c r="K267" s="484"/>
      <c r="L267" s="451"/>
      <c r="M267" s="451"/>
      <c r="N267" s="483">
        <f>+O267+P267</f>
        <v>267.5</v>
      </c>
      <c r="O267" s="451">
        <f t="shared" si="273"/>
        <v>250</v>
      </c>
      <c r="P267" s="451">
        <f t="shared" si="273"/>
        <v>17.5</v>
      </c>
      <c r="Q267" s="450">
        <f t="shared" si="265"/>
        <v>687.5</v>
      </c>
      <c r="R267" s="451">
        <v>650</v>
      </c>
      <c r="S267" s="451">
        <v>37.5</v>
      </c>
      <c r="T267" s="451"/>
      <c r="U267" s="511">
        <f t="shared" si="266"/>
        <v>687.5</v>
      </c>
      <c r="V267" s="511">
        <f t="shared" si="267"/>
        <v>650</v>
      </c>
      <c r="W267" s="511">
        <f t="shared" si="267"/>
        <v>37.5</v>
      </c>
      <c r="X267" s="445">
        <f t="shared" si="271"/>
        <v>0</v>
      </c>
      <c r="Y267" s="451"/>
      <c r="Z267" s="451"/>
      <c r="AA267" s="451"/>
      <c r="AB267" s="451"/>
      <c r="AC267" s="451"/>
      <c r="AD267" s="451">
        <f>+AE267+AF267</f>
        <v>687.5</v>
      </c>
      <c r="AE267" s="451">
        <v>650</v>
      </c>
      <c r="AF267" s="451">
        <v>37.5</v>
      </c>
      <c r="AG267" s="451"/>
      <c r="AH267" s="451"/>
      <c r="AI267" s="451"/>
      <c r="AJ267" s="451"/>
      <c r="AK267" s="451"/>
      <c r="AL267" s="15"/>
      <c r="AP267" s="1"/>
      <c r="AQ267" s="1"/>
      <c r="AR267" s="1"/>
    </row>
    <row r="268" spans="1:44" s="365" customFormat="1" ht="30">
      <c r="A268" s="8">
        <f t="shared" si="269"/>
        <v>17</v>
      </c>
      <c r="B268" s="328" t="s">
        <v>536</v>
      </c>
      <c r="C268" s="8" t="s">
        <v>515</v>
      </c>
      <c r="D268" s="8"/>
      <c r="E268" s="8" t="s">
        <v>537</v>
      </c>
      <c r="F268" s="8" t="s">
        <v>54</v>
      </c>
      <c r="G268" s="445">
        <f t="shared" si="270"/>
        <v>210</v>
      </c>
      <c r="H268" s="445">
        <v>200</v>
      </c>
      <c r="I268" s="445">
        <v>10</v>
      </c>
      <c r="J268" s="451">
        <v>0</v>
      </c>
      <c r="K268" s="484"/>
      <c r="L268" s="451"/>
      <c r="M268" s="451"/>
      <c r="N268" s="483">
        <f>+O268+P268</f>
        <v>54.3</v>
      </c>
      <c r="O268" s="451">
        <f t="shared" si="273"/>
        <v>50</v>
      </c>
      <c r="P268" s="451">
        <f t="shared" si="273"/>
        <v>4.3000000000000007</v>
      </c>
      <c r="Q268" s="450">
        <f t="shared" si="265"/>
        <v>264.3</v>
      </c>
      <c r="R268" s="451">
        <v>250</v>
      </c>
      <c r="S268" s="451">
        <v>14.3</v>
      </c>
      <c r="T268" s="451"/>
      <c r="U268" s="511">
        <f t="shared" si="266"/>
        <v>264.3</v>
      </c>
      <c r="V268" s="511">
        <f t="shared" si="267"/>
        <v>250</v>
      </c>
      <c r="W268" s="511">
        <f t="shared" si="267"/>
        <v>14.3</v>
      </c>
      <c r="X268" s="445">
        <f t="shared" si="271"/>
        <v>0</v>
      </c>
      <c r="Y268" s="451"/>
      <c r="Z268" s="451"/>
      <c r="AA268" s="451"/>
      <c r="AB268" s="451"/>
      <c r="AC268" s="451"/>
      <c r="AD268" s="451">
        <f>+AE268+AF268</f>
        <v>264.3</v>
      </c>
      <c r="AE268" s="451">
        <v>250</v>
      </c>
      <c r="AF268" s="451">
        <v>14.3</v>
      </c>
      <c r="AG268" s="451"/>
      <c r="AH268" s="451"/>
      <c r="AI268" s="451"/>
      <c r="AJ268" s="451"/>
      <c r="AK268" s="451"/>
      <c r="AL268" s="15"/>
      <c r="AP268" s="1"/>
      <c r="AQ268" s="1"/>
      <c r="AR268" s="1"/>
    </row>
    <row r="269" spans="1:44" s="365" customFormat="1" ht="30">
      <c r="A269" s="8">
        <f t="shared" si="269"/>
        <v>18</v>
      </c>
      <c r="B269" s="328" t="s">
        <v>518</v>
      </c>
      <c r="C269" s="8" t="s">
        <v>502</v>
      </c>
      <c r="D269" s="8"/>
      <c r="E269" s="8" t="s">
        <v>519</v>
      </c>
      <c r="F269" s="8" t="s">
        <v>55</v>
      </c>
      <c r="G269" s="505">
        <f>H269+I269</f>
        <v>157.5</v>
      </c>
      <c r="H269" s="505">
        <v>150</v>
      </c>
      <c r="I269" s="505">
        <v>7.5</v>
      </c>
      <c r="J269" s="451">
        <v>0</v>
      </c>
      <c r="K269" s="484">
        <f>+L269+M269</f>
        <v>32.61</v>
      </c>
      <c r="L269" s="451">
        <f>+H269-R269</f>
        <v>30</v>
      </c>
      <c r="M269" s="451">
        <f>+I269-S269</f>
        <v>2.6100000000000003</v>
      </c>
      <c r="N269" s="483"/>
      <c r="O269" s="451"/>
      <c r="P269" s="451"/>
      <c r="Q269" s="451">
        <f t="shared" si="265"/>
        <v>124.89</v>
      </c>
      <c r="R269" s="451">
        <v>120</v>
      </c>
      <c r="S269" s="451">
        <v>4.8899999999999997</v>
      </c>
      <c r="T269" s="451"/>
      <c r="U269" s="511">
        <f>+V269+W269</f>
        <v>0</v>
      </c>
      <c r="V269" s="511">
        <f t="shared" si="267"/>
        <v>0</v>
      </c>
      <c r="W269" s="511">
        <f t="shared" si="267"/>
        <v>0</v>
      </c>
      <c r="X269" s="445">
        <f>Y269+Z269</f>
        <v>0</v>
      </c>
      <c r="Y269" s="451"/>
      <c r="Z269" s="451"/>
      <c r="AA269" s="451"/>
      <c r="AB269" s="451"/>
      <c r="AC269" s="451"/>
      <c r="AD269" s="451"/>
      <c r="AE269" s="451"/>
      <c r="AF269" s="451"/>
      <c r="AG269" s="451">
        <f t="shared" ref="AG269:AG274" si="274">+AH269+AI269</f>
        <v>124.89</v>
      </c>
      <c r="AH269" s="451">
        <v>120</v>
      </c>
      <c r="AI269" s="451">
        <v>4.8899999999999997</v>
      </c>
      <c r="AJ269" s="451"/>
      <c r="AK269" s="451"/>
      <c r="AL269" s="15"/>
      <c r="AP269" s="1"/>
      <c r="AQ269" s="1"/>
      <c r="AR269" s="1"/>
    </row>
    <row r="270" spans="1:44" s="365" customFormat="1" ht="75">
      <c r="A270" s="8">
        <f t="shared" si="269"/>
        <v>19</v>
      </c>
      <c r="B270" s="376" t="s">
        <v>822</v>
      </c>
      <c r="C270" s="8" t="s">
        <v>511</v>
      </c>
      <c r="D270" s="8"/>
      <c r="E270" s="8" t="s">
        <v>159</v>
      </c>
      <c r="F270" s="8" t="s">
        <v>55</v>
      </c>
      <c r="G270" s="505">
        <f>H270+I270</f>
        <v>420</v>
      </c>
      <c r="H270" s="505">
        <v>400</v>
      </c>
      <c r="I270" s="505">
        <v>20</v>
      </c>
      <c r="J270" s="451">
        <v>0</v>
      </c>
      <c r="K270" s="484"/>
      <c r="L270" s="451"/>
      <c r="M270" s="451"/>
      <c r="N270" s="483">
        <f>+O270+P270</f>
        <v>100.37</v>
      </c>
      <c r="O270" s="451">
        <f>+R270-H270</f>
        <v>100</v>
      </c>
      <c r="P270" s="451">
        <f>+S270-I270</f>
        <v>0.37000000000000099</v>
      </c>
      <c r="Q270" s="451">
        <f t="shared" si="265"/>
        <v>520.37</v>
      </c>
      <c r="R270" s="451">
        <v>500</v>
      </c>
      <c r="S270" s="451">
        <v>20.37</v>
      </c>
      <c r="T270" s="451"/>
      <c r="U270" s="511">
        <f>+V270+W270</f>
        <v>0</v>
      </c>
      <c r="V270" s="511">
        <f t="shared" si="267"/>
        <v>0</v>
      </c>
      <c r="W270" s="511">
        <f t="shared" si="267"/>
        <v>0</v>
      </c>
      <c r="X270" s="445">
        <f>Y270+Z270</f>
        <v>0</v>
      </c>
      <c r="Y270" s="451"/>
      <c r="Z270" s="451"/>
      <c r="AA270" s="451"/>
      <c r="AB270" s="451"/>
      <c r="AC270" s="451"/>
      <c r="AD270" s="451"/>
      <c r="AE270" s="451"/>
      <c r="AF270" s="451"/>
      <c r="AG270" s="451">
        <f t="shared" si="274"/>
        <v>520.37</v>
      </c>
      <c r="AH270" s="451">
        <v>500</v>
      </c>
      <c r="AI270" s="451">
        <v>20.37</v>
      </c>
      <c r="AJ270" s="451"/>
      <c r="AK270" s="451"/>
      <c r="AL270" s="15"/>
      <c r="AP270" s="1"/>
      <c r="AQ270" s="1"/>
      <c r="AR270" s="1"/>
    </row>
    <row r="271" spans="1:44" s="365" customFormat="1" ht="30">
      <c r="A271" s="8">
        <f t="shared" si="269"/>
        <v>20</v>
      </c>
      <c r="B271" s="328" t="s">
        <v>528</v>
      </c>
      <c r="C271" s="8" t="s">
        <v>529</v>
      </c>
      <c r="D271" s="8"/>
      <c r="E271" s="8" t="s">
        <v>530</v>
      </c>
      <c r="F271" s="8" t="s">
        <v>55</v>
      </c>
      <c r="G271" s="445">
        <f>H271+I271</f>
        <v>313.39999999999998</v>
      </c>
      <c r="H271" s="445">
        <v>300</v>
      </c>
      <c r="I271" s="445">
        <v>13.4</v>
      </c>
      <c r="J271" s="451">
        <v>0</v>
      </c>
      <c r="K271" s="484">
        <f t="shared" si="264"/>
        <v>0</v>
      </c>
      <c r="L271" s="451"/>
      <c r="M271" s="451"/>
      <c r="N271" s="483"/>
      <c r="O271" s="451"/>
      <c r="P271" s="451"/>
      <c r="Q271" s="451">
        <f t="shared" si="265"/>
        <v>313.39999999999998</v>
      </c>
      <c r="R271" s="451">
        <v>300</v>
      </c>
      <c r="S271" s="451">
        <v>13.4</v>
      </c>
      <c r="T271" s="451"/>
      <c r="U271" s="511">
        <f>+V271+W271</f>
        <v>0</v>
      </c>
      <c r="V271" s="511">
        <f t="shared" si="267"/>
        <v>0</v>
      </c>
      <c r="W271" s="511">
        <f t="shared" si="267"/>
        <v>0</v>
      </c>
      <c r="X271" s="445">
        <f>Y271+Z271</f>
        <v>0</v>
      </c>
      <c r="Y271" s="451"/>
      <c r="Z271" s="451"/>
      <c r="AA271" s="451"/>
      <c r="AB271" s="451"/>
      <c r="AC271" s="451"/>
      <c r="AD271" s="451"/>
      <c r="AE271" s="451"/>
      <c r="AF271" s="451"/>
      <c r="AG271" s="451">
        <f t="shared" si="274"/>
        <v>313.39999999999998</v>
      </c>
      <c r="AH271" s="451">
        <v>300</v>
      </c>
      <c r="AI271" s="451">
        <v>13.4</v>
      </c>
      <c r="AJ271" s="451"/>
      <c r="AK271" s="451"/>
      <c r="AL271" s="15"/>
      <c r="AP271" s="1"/>
      <c r="AQ271" s="1"/>
      <c r="AR271" s="1"/>
    </row>
    <row r="272" spans="1:44" s="365" customFormat="1" ht="30">
      <c r="A272" s="8">
        <f t="shared" si="269"/>
        <v>21</v>
      </c>
      <c r="B272" s="328" t="s">
        <v>531</v>
      </c>
      <c r="C272" s="8" t="s">
        <v>509</v>
      </c>
      <c r="D272" s="8"/>
      <c r="E272" s="8" t="s">
        <v>532</v>
      </c>
      <c r="F272" s="8" t="s">
        <v>55</v>
      </c>
      <c r="G272" s="505">
        <f>H272+I272</f>
        <v>262.5</v>
      </c>
      <c r="H272" s="505">
        <v>250</v>
      </c>
      <c r="I272" s="505">
        <v>12.5</v>
      </c>
      <c r="J272" s="451">
        <v>0</v>
      </c>
      <c r="K272" s="484">
        <f t="shared" si="264"/>
        <v>0</v>
      </c>
      <c r="L272" s="451"/>
      <c r="M272" s="451"/>
      <c r="N272" s="483"/>
      <c r="O272" s="451"/>
      <c r="P272" s="451"/>
      <c r="Q272" s="451">
        <f t="shared" si="265"/>
        <v>262.5</v>
      </c>
      <c r="R272" s="451">
        <v>250</v>
      </c>
      <c r="S272" s="451">
        <v>12.5</v>
      </c>
      <c r="T272" s="451"/>
      <c r="U272" s="511">
        <f>+V272+W272</f>
        <v>0</v>
      </c>
      <c r="V272" s="511">
        <f t="shared" si="267"/>
        <v>0</v>
      </c>
      <c r="W272" s="511">
        <f t="shared" si="267"/>
        <v>0</v>
      </c>
      <c r="X272" s="445">
        <f>Y272+Z272</f>
        <v>0</v>
      </c>
      <c r="Y272" s="451"/>
      <c r="Z272" s="451"/>
      <c r="AA272" s="451"/>
      <c r="AB272" s="451"/>
      <c r="AC272" s="451"/>
      <c r="AD272" s="451"/>
      <c r="AE272" s="451"/>
      <c r="AF272" s="451"/>
      <c r="AG272" s="451">
        <f t="shared" si="274"/>
        <v>262.5</v>
      </c>
      <c r="AH272" s="451">
        <v>250</v>
      </c>
      <c r="AI272" s="451">
        <v>12.5</v>
      </c>
      <c r="AJ272" s="451"/>
      <c r="AK272" s="451"/>
      <c r="AL272" s="15"/>
      <c r="AP272" s="1"/>
      <c r="AQ272" s="1"/>
      <c r="AR272" s="1"/>
    </row>
    <row r="273" spans="1:44" s="365" customFormat="1" ht="30">
      <c r="A273" s="8">
        <f t="shared" si="269"/>
        <v>22</v>
      </c>
      <c r="B273" s="376" t="s">
        <v>810</v>
      </c>
      <c r="C273" s="375" t="s">
        <v>334</v>
      </c>
      <c r="D273" s="8"/>
      <c r="E273" s="8" t="s">
        <v>533</v>
      </c>
      <c r="F273" s="8" t="s">
        <v>55</v>
      </c>
      <c r="G273" s="445">
        <f>H273+I273</f>
        <v>315</v>
      </c>
      <c r="H273" s="445">
        <v>300</v>
      </c>
      <c r="I273" s="445">
        <v>15</v>
      </c>
      <c r="J273" s="451">
        <v>0</v>
      </c>
      <c r="K273" s="484">
        <f>+L273+M273</f>
        <v>10.5</v>
      </c>
      <c r="L273" s="451"/>
      <c r="M273" s="451">
        <f>+I273-S273</f>
        <v>10.5</v>
      </c>
      <c r="N273" s="483">
        <f>+O273+P273</f>
        <v>9.8100000000000023</v>
      </c>
      <c r="O273" s="451">
        <f>+R273-H273</f>
        <v>9.8100000000000023</v>
      </c>
      <c r="P273" s="451"/>
      <c r="Q273" s="451">
        <f t="shared" si="265"/>
        <v>314.31</v>
      </c>
      <c r="R273" s="451">
        <v>309.81</v>
      </c>
      <c r="S273" s="451">
        <v>4.5</v>
      </c>
      <c r="T273" s="451"/>
      <c r="U273" s="511">
        <f>+V273+W273</f>
        <v>0</v>
      </c>
      <c r="V273" s="511">
        <f t="shared" si="267"/>
        <v>0</v>
      </c>
      <c r="W273" s="511">
        <f t="shared" si="267"/>
        <v>0</v>
      </c>
      <c r="X273" s="445">
        <f>Y273+Z273</f>
        <v>0</v>
      </c>
      <c r="Y273" s="451"/>
      <c r="Z273" s="451"/>
      <c r="AA273" s="451"/>
      <c r="AB273" s="451"/>
      <c r="AC273" s="451"/>
      <c r="AD273" s="451"/>
      <c r="AE273" s="451"/>
      <c r="AF273" s="451"/>
      <c r="AG273" s="451">
        <f t="shared" si="274"/>
        <v>314.31</v>
      </c>
      <c r="AH273" s="451">
        <v>309.81</v>
      </c>
      <c r="AI273" s="451">
        <v>4.5</v>
      </c>
      <c r="AJ273" s="451"/>
      <c r="AK273" s="451"/>
      <c r="AL273" s="15"/>
      <c r="AP273" s="1"/>
      <c r="AQ273" s="1"/>
      <c r="AR273" s="1"/>
    </row>
    <row r="274" spans="1:44" s="365" customFormat="1" ht="75">
      <c r="A274" s="8">
        <f t="shared" si="269"/>
        <v>23</v>
      </c>
      <c r="B274" s="376" t="s">
        <v>823</v>
      </c>
      <c r="C274" s="8" t="s">
        <v>334</v>
      </c>
      <c r="D274" s="8"/>
      <c r="E274" s="8" t="s">
        <v>159</v>
      </c>
      <c r="F274" s="8" t="s">
        <v>55</v>
      </c>
      <c r="G274" s="445">
        <f t="shared" si="270"/>
        <v>525</v>
      </c>
      <c r="H274" s="445">
        <v>500</v>
      </c>
      <c r="I274" s="445">
        <v>25</v>
      </c>
      <c r="J274" s="451">
        <v>0</v>
      </c>
      <c r="K274" s="484">
        <f>+L274+M274</f>
        <v>25.45</v>
      </c>
      <c r="L274" s="451">
        <f>+H274-R274</f>
        <v>20</v>
      </c>
      <c r="M274" s="451">
        <f>+I274-S274</f>
        <v>5.4499999999999993</v>
      </c>
      <c r="N274" s="483"/>
      <c r="O274" s="451"/>
      <c r="P274" s="451"/>
      <c r="Q274" s="451">
        <f t="shared" si="265"/>
        <v>499.55</v>
      </c>
      <c r="R274" s="451">
        <v>480</v>
      </c>
      <c r="S274" s="451">
        <v>19.55</v>
      </c>
      <c r="T274" s="451"/>
      <c r="U274" s="511">
        <f t="shared" si="266"/>
        <v>0</v>
      </c>
      <c r="V274" s="511">
        <f t="shared" si="267"/>
        <v>0</v>
      </c>
      <c r="W274" s="511">
        <f t="shared" si="267"/>
        <v>0</v>
      </c>
      <c r="X274" s="445">
        <f t="shared" si="271"/>
        <v>0</v>
      </c>
      <c r="Y274" s="451"/>
      <c r="Z274" s="451"/>
      <c r="AA274" s="451"/>
      <c r="AB274" s="451"/>
      <c r="AC274" s="451"/>
      <c r="AD274" s="451"/>
      <c r="AE274" s="451"/>
      <c r="AF274" s="451"/>
      <c r="AG274" s="451">
        <f t="shared" si="274"/>
        <v>499.55</v>
      </c>
      <c r="AH274" s="451">
        <v>480</v>
      </c>
      <c r="AI274" s="451">
        <v>19.55</v>
      </c>
      <c r="AJ274" s="451"/>
      <c r="AK274" s="451"/>
      <c r="AL274" s="15"/>
      <c r="AP274" s="1"/>
      <c r="AQ274" s="1"/>
      <c r="AR274" s="1"/>
    </row>
    <row r="275" spans="1:44" s="365" customFormat="1" ht="75">
      <c r="A275" s="8">
        <f t="shared" si="269"/>
        <v>24</v>
      </c>
      <c r="B275" s="376" t="s">
        <v>824</v>
      </c>
      <c r="C275" s="8" t="s">
        <v>511</v>
      </c>
      <c r="D275" s="8"/>
      <c r="E275" s="8" t="s">
        <v>159</v>
      </c>
      <c r="F275" s="8">
        <v>2025</v>
      </c>
      <c r="G275" s="445">
        <f t="shared" si="270"/>
        <v>525</v>
      </c>
      <c r="H275" s="445">
        <v>500</v>
      </c>
      <c r="I275" s="445">
        <v>25</v>
      </c>
      <c r="J275" s="451">
        <v>0</v>
      </c>
      <c r="K275" s="484">
        <f t="shared" si="264"/>
        <v>0</v>
      </c>
      <c r="L275" s="451"/>
      <c r="M275" s="451"/>
      <c r="N275" s="483"/>
      <c r="O275" s="451"/>
      <c r="P275" s="451"/>
      <c r="Q275" s="445">
        <f t="shared" ref="Q275" si="275">R275+S275</f>
        <v>525</v>
      </c>
      <c r="R275" s="445">
        <v>500</v>
      </c>
      <c r="S275" s="445">
        <v>25</v>
      </c>
      <c r="T275" s="451"/>
      <c r="U275" s="511">
        <f t="shared" si="266"/>
        <v>0</v>
      </c>
      <c r="V275" s="511">
        <f t="shared" si="267"/>
        <v>0</v>
      </c>
      <c r="W275" s="511">
        <f t="shared" si="267"/>
        <v>0</v>
      </c>
      <c r="X275" s="445">
        <f t="shared" si="271"/>
        <v>0</v>
      </c>
      <c r="Y275" s="451"/>
      <c r="Z275" s="451"/>
      <c r="AA275" s="451"/>
      <c r="AB275" s="451"/>
      <c r="AC275" s="451"/>
      <c r="AD275" s="451"/>
      <c r="AE275" s="451"/>
      <c r="AF275" s="451"/>
      <c r="AG275" s="445">
        <f t="shared" ref="AG275" si="276">AH275+AI275</f>
        <v>525</v>
      </c>
      <c r="AH275" s="445">
        <v>500</v>
      </c>
      <c r="AI275" s="445">
        <v>25</v>
      </c>
      <c r="AJ275" s="451"/>
      <c r="AK275" s="451"/>
      <c r="AL275" s="15"/>
      <c r="AP275" s="1"/>
      <c r="AQ275" s="1"/>
      <c r="AR275" s="1"/>
    </row>
    <row r="276" spans="1:44" s="365" customFormat="1" ht="30">
      <c r="A276" s="8">
        <f t="shared" si="269"/>
        <v>25</v>
      </c>
      <c r="B276" s="328" t="s">
        <v>541</v>
      </c>
      <c r="C276" s="8" t="s">
        <v>509</v>
      </c>
      <c r="D276" s="8"/>
      <c r="E276" s="8" t="s">
        <v>812</v>
      </c>
      <c r="F276" s="8" t="s">
        <v>55</v>
      </c>
      <c r="G276" s="505">
        <f t="shared" si="270"/>
        <v>430.5</v>
      </c>
      <c r="H276" s="505">
        <v>410</v>
      </c>
      <c r="I276" s="505">
        <v>20.5</v>
      </c>
      <c r="J276" s="451">
        <v>0</v>
      </c>
      <c r="K276" s="484">
        <f>+L276+M276</f>
        <v>0.94999999999999929</v>
      </c>
      <c r="L276" s="451"/>
      <c r="M276" s="451">
        <f>+I276-S276</f>
        <v>0.94999999999999929</v>
      </c>
      <c r="N276" s="483">
        <f>+O276+P276</f>
        <v>70</v>
      </c>
      <c r="O276" s="451">
        <f>+R276-H276</f>
        <v>70</v>
      </c>
      <c r="P276" s="451"/>
      <c r="Q276" s="451">
        <f>+R276+S276</f>
        <v>499.55</v>
      </c>
      <c r="R276" s="451">
        <v>480</v>
      </c>
      <c r="S276" s="451">
        <v>19.55</v>
      </c>
      <c r="T276" s="451"/>
      <c r="U276" s="511">
        <f t="shared" si="266"/>
        <v>0</v>
      </c>
      <c r="V276" s="511">
        <f t="shared" si="267"/>
        <v>0</v>
      </c>
      <c r="W276" s="511">
        <f t="shared" si="267"/>
        <v>0</v>
      </c>
      <c r="X276" s="445">
        <f t="shared" si="271"/>
        <v>0</v>
      </c>
      <c r="Y276" s="451"/>
      <c r="Z276" s="451"/>
      <c r="AA276" s="451"/>
      <c r="AB276" s="451"/>
      <c r="AC276" s="451"/>
      <c r="AD276" s="451"/>
      <c r="AE276" s="451"/>
      <c r="AF276" s="451"/>
      <c r="AG276" s="451">
        <f>+AH276+AI276</f>
        <v>499.55</v>
      </c>
      <c r="AH276" s="451">
        <v>480</v>
      </c>
      <c r="AI276" s="451">
        <v>19.55</v>
      </c>
      <c r="AJ276" s="451"/>
      <c r="AK276" s="451"/>
      <c r="AL276" s="15"/>
      <c r="AP276" s="1"/>
      <c r="AQ276" s="1"/>
      <c r="AR276" s="1"/>
    </row>
    <row r="277" spans="1:44" s="365" customFormat="1" ht="75">
      <c r="A277" s="8">
        <f t="shared" si="269"/>
        <v>26</v>
      </c>
      <c r="B277" s="328" t="s">
        <v>543</v>
      </c>
      <c r="C277" s="8" t="s">
        <v>502</v>
      </c>
      <c r="D277" s="8"/>
      <c r="E277" s="8" t="s">
        <v>510</v>
      </c>
      <c r="F277" s="8" t="s">
        <v>55</v>
      </c>
      <c r="G277" s="505">
        <f t="shared" si="270"/>
        <v>105.25</v>
      </c>
      <c r="H277" s="505">
        <v>100.25</v>
      </c>
      <c r="I277" s="505">
        <v>5</v>
      </c>
      <c r="J277" s="451">
        <v>0</v>
      </c>
      <c r="K277" s="484"/>
      <c r="L277" s="451"/>
      <c r="M277" s="451"/>
      <c r="N277" s="483">
        <f>+O277+P277</f>
        <v>519.19000000000005</v>
      </c>
      <c r="O277" s="451">
        <f>+R277-H277</f>
        <v>499.75</v>
      </c>
      <c r="P277" s="451">
        <f>+S277-I277</f>
        <v>19.440000000000001</v>
      </c>
      <c r="Q277" s="451">
        <f>+R277+S277</f>
        <v>624.44000000000005</v>
      </c>
      <c r="R277" s="451">
        <v>600</v>
      </c>
      <c r="S277" s="451">
        <v>24.44</v>
      </c>
      <c r="T277" s="451"/>
      <c r="U277" s="511">
        <f t="shared" si="266"/>
        <v>0</v>
      </c>
      <c r="V277" s="511">
        <f t="shared" si="267"/>
        <v>0</v>
      </c>
      <c r="W277" s="511">
        <f t="shared" si="267"/>
        <v>0</v>
      </c>
      <c r="X277" s="445">
        <f t="shared" si="271"/>
        <v>0</v>
      </c>
      <c r="Y277" s="451"/>
      <c r="Z277" s="451"/>
      <c r="AA277" s="451"/>
      <c r="AB277" s="451"/>
      <c r="AC277" s="451"/>
      <c r="AD277" s="451"/>
      <c r="AE277" s="451"/>
      <c r="AF277" s="451"/>
      <c r="AG277" s="451">
        <f>+AH277+AI277</f>
        <v>624.44000000000005</v>
      </c>
      <c r="AH277" s="451">
        <v>600</v>
      </c>
      <c r="AI277" s="451">
        <v>24.44</v>
      </c>
      <c r="AJ277" s="451"/>
      <c r="AK277" s="451"/>
      <c r="AL277" s="15"/>
      <c r="AP277" s="1"/>
      <c r="AQ277" s="1"/>
      <c r="AR277" s="1"/>
    </row>
    <row r="278" spans="1:44" s="365" customFormat="1" ht="30">
      <c r="A278" s="8">
        <f t="shared" si="269"/>
        <v>27</v>
      </c>
      <c r="B278" s="512" t="s">
        <v>520</v>
      </c>
      <c r="C278" s="8" t="s">
        <v>502</v>
      </c>
      <c r="D278" s="8"/>
      <c r="E278" s="8" t="s">
        <v>521</v>
      </c>
      <c r="F278" s="8" t="s">
        <v>53</v>
      </c>
      <c r="G278" s="445">
        <f t="shared" si="270"/>
        <v>210</v>
      </c>
      <c r="H278" s="445">
        <v>200</v>
      </c>
      <c r="I278" s="445">
        <v>10</v>
      </c>
      <c r="J278" s="451">
        <v>0</v>
      </c>
      <c r="K278" s="445">
        <f t="shared" ref="K278:K283" si="277">L278+M278</f>
        <v>210</v>
      </c>
      <c r="L278" s="445">
        <v>200</v>
      </c>
      <c r="M278" s="445">
        <v>10</v>
      </c>
      <c r="N278" s="483"/>
      <c r="O278" s="451"/>
      <c r="P278" s="451"/>
      <c r="Q278" s="466"/>
      <c r="R278" s="451"/>
      <c r="S278" s="451"/>
      <c r="T278" s="19" t="s">
        <v>1174</v>
      </c>
      <c r="U278" s="511">
        <f t="shared" si="266"/>
        <v>0</v>
      </c>
      <c r="V278" s="511">
        <f t="shared" ref="V278:W283" si="278">+Y278+AB278+AE278</f>
        <v>0</v>
      </c>
      <c r="W278" s="511">
        <f t="shared" si="278"/>
        <v>0</v>
      </c>
      <c r="X278" s="445">
        <f t="shared" si="271"/>
        <v>0</v>
      </c>
      <c r="Y278" s="451"/>
      <c r="Z278" s="451"/>
      <c r="AA278" s="451"/>
      <c r="AB278" s="451"/>
      <c r="AC278" s="451"/>
      <c r="AD278" s="451"/>
      <c r="AE278" s="451"/>
      <c r="AF278" s="451"/>
      <c r="AG278" s="451"/>
      <c r="AH278" s="451"/>
      <c r="AI278" s="451"/>
      <c r="AJ278" s="451"/>
      <c r="AK278" s="451"/>
      <c r="AL278" s="15"/>
      <c r="AP278" s="1"/>
      <c r="AQ278" s="1"/>
      <c r="AR278" s="1"/>
    </row>
    <row r="279" spans="1:44" s="365" customFormat="1" ht="30">
      <c r="A279" s="8">
        <f t="shared" si="269"/>
        <v>28</v>
      </c>
      <c r="B279" s="512" t="s">
        <v>522</v>
      </c>
      <c r="C279" s="8" t="s">
        <v>515</v>
      </c>
      <c r="D279" s="8"/>
      <c r="E279" s="8" t="s">
        <v>523</v>
      </c>
      <c r="F279" s="8" t="s">
        <v>53</v>
      </c>
      <c r="G279" s="505">
        <f t="shared" si="270"/>
        <v>52.5</v>
      </c>
      <c r="H279" s="505">
        <v>50</v>
      </c>
      <c r="I279" s="505">
        <v>2.5</v>
      </c>
      <c r="J279" s="451">
        <v>0</v>
      </c>
      <c r="K279" s="505">
        <f t="shared" si="277"/>
        <v>52.5</v>
      </c>
      <c r="L279" s="505">
        <v>50</v>
      </c>
      <c r="M279" s="505">
        <v>2.5</v>
      </c>
      <c r="N279" s="483"/>
      <c r="O279" s="451"/>
      <c r="P279" s="451"/>
      <c r="Q279" s="466"/>
      <c r="R279" s="451"/>
      <c r="S279" s="451"/>
      <c r="T279" s="19" t="s">
        <v>1174</v>
      </c>
      <c r="U279" s="511">
        <f t="shared" si="266"/>
        <v>0</v>
      </c>
      <c r="V279" s="511">
        <f t="shared" si="278"/>
        <v>0</v>
      </c>
      <c r="W279" s="511">
        <f t="shared" si="278"/>
        <v>0</v>
      </c>
      <c r="X279" s="445">
        <f t="shared" si="271"/>
        <v>0</v>
      </c>
      <c r="Y279" s="451"/>
      <c r="Z279" s="451"/>
      <c r="AA279" s="451"/>
      <c r="AB279" s="451"/>
      <c r="AC279" s="451"/>
      <c r="AD279" s="451"/>
      <c r="AE279" s="451"/>
      <c r="AF279" s="451"/>
      <c r="AG279" s="451"/>
      <c r="AH279" s="451"/>
      <c r="AI279" s="451"/>
      <c r="AJ279" s="451"/>
      <c r="AK279" s="451"/>
      <c r="AL279" s="15"/>
      <c r="AP279" s="1"/>
      <c r="AQ279" s="1"/>
      <c r="AR279" s="1"/>
    </row>
    <row r="280" spans="1:44" s="365" customFormat="1" ht="60">
      <c r="A280" s="8">
        <f t="shared" si="269"/>
        <v>29</v>
      </c>
      <c r="B280" s="512" t="s">
        <v>534</v>
      </c>
      <c r="C280" s="8" t="s">
        <v>509</v>
      </c>
      <c r="D280" s="8"/>
      <c r="E280" s="22" t="s">
        <v>535</v>
      </c>
      <c r="F280" s="8" t="s">
        <v>54</v>
      </c>
      <c r="G280" s="505">
        <f t="shared" si="270"/>
        <v>420</v>
      </c>
      <c r="H280" s="505">
        <v>400</v>
      </c>
      <c r="I280" s="505">
        <v>20</v>
      </c>
      <c r="J280" s="451">
        <v>0</v>
      </c>
      <c r="K280" s="505">
        <f t="shared" si="277"/>
        <v>420</v>
      </c>
      <c r="L280" s="505">
        <v>400</v>
      </c>
      <c r="M280" s="505">
        <v>20</v>
      </c>
      <c r="N280" s="483"/>
      <c r="O280" s="451"/>
      <c r="P280" s="451"/>
      <c r="Q280" s="466"/>
      <c r="R280" s="451"/>
      <c r="S280" s="451"/>
      <c r="T280" s="19" t="s">
        <v>1174</v>
      </c>
      <c r="U280" s="511">
        <f t="shared" si="266"/>
        <v>0</v>
      </c>
      <c r="V280" s="511">
        <f t="shared" si="278"/>
        <v>0</v>
      </c>
      <c r="W280" s="511">
        <f t="shared" si="278"/>
        <v>0</v>
      </c>
      <c r="X280" s="445">
        <f t="shared" si="271"/>
        <v>0</v>
      </c>
      <c r="Y280" s="451"/>
      <c r="Z280" s="451"/>
      <c r="AA280" s="451"/>
      <c r="AB280" s="451"/>
      <c r="AC280" s="451"/>
      <c r="AD280" s="451"/>
      <c r="AE280" s="451"/>
      <c r="AF280" s="451"/>
      <c r="AG280" s="451"/>
      <c r="AH280" s="451"/>
      <c r="AI280" s="451"/>
      <c r="AJ280" s="451"/>
      <c r="AK280" s="451"/>
      <c r="AL280" s="15"/>
      <c r="AP280" s="1"/>
      <c r="AQ280" s="1"/>
      <c r="AR280" s="1"/>
    </row>
    <row r="281" spans="1:44" s="365" customFormat="1" ht="30">
      <c r="A281" s="8">
        <f t="shared" si="269"/>
        <v>30</v>
      </c>
      <c r="B281" s="512" t="s">
        <v>538</v>
      </c>
      <c r="C281" s="8" t="s">
        <v>506</v>
      </c>
      <c r="D281" s="8"/>
      <c r="E281" s="8" t="s">
        <v>539</v>
      </c>
      <c r="F281" s="8" t="s">
        <v>54</v>
      </c>
      <c r="G281" s="445">
        <f t="shared" si="270"/>
        <v>210</v>
      </c>
      <c r="H281" s="445">
        <v>200</v>
      </c>
      <c r="I281" s="445">
        <v>10</v>
      </c>
      <c r="J281" s="451">
        <v>0</v>
      </c>
      <c r="K281" s="445">
        <f t="shared" si="277"/>
        <v>210</v>
      </c>
      <c r="L281" s="445">
        <v>200</v>
      </c>
      <c r="M281" s="445">
        <v>10</v>
      </c>
      <c r="N281" s="483"/>
      <c r="O281" s="451"/>
      <c r="P281" s="451"/>
      <c r="Q281" s="466"/>
      <c r="R281" s="451"/>
      <c r="S281" s="451"/>
      <c r="T281" s="19" t="s">
        <v>1174</v>
      </c>
      <c r="U281" s="511">
        <f t="shared" si="266"/>
        <v>0</v>
      </c>
      <c r="V281" s="511">
        <f t="shared" si="278"/>
        <v>0</v>
      </c>
      <c r="W281" s="511">
        <f t="shared" si="278"/>
        <v>0</v>
      </c>
      <c r="X281" s="445">
        <f t="shared" si="271"/>
        <v>0</v>
      </c>
      <c r="Y281" s="451"/>
      <c r="Z281" s="451"/>
      <c r="AA281" s="451"/>
      <c r="AB281" s="451"/>
      <c r="AC281" s="451"/>
      <c r="AD281" s="451"/>
      <c r="AE281" s="451"/>
      <c r="AF281" s="451"/>
      <c r="AG281" s="451"/>
      <c r="AH281" s="451"/>
      <c r="AI281" s="451"/>
      <c r="AJ281" s="451"/>
      <c r="AK281" s="451"/>
      <c r="AL281" s="15"/>
      <c r="AP281" s="1"/>
      <c r="AQ281" s="1"/>
      <c r="AR281" s="1"/>
    </row>
    <row r="282" spans="1:44" s="365" customFormat="1" ht="30">
      <c r="A282" s="8">
        <f t="shared" si="269"/>
        <v>31</v>
      </c>
      <c r="B282" s="512" t="s">
        <v>540</v>
      </c>
      <c r="C282" s="8" t="s">
        <v>529</v>
      </c>
      <c r="D282" s="8"/>
      <c r="E282" s="8" t="s">
        <v>811</v>
      </c>
      <c r="F282" s="8" t="s">
        <v>55</v>
      </c>
      <c r="G282" s="505">
        <f t="shared" si="270"/>
        <v>430.5</v>
      </c>
      <c r="H282" s="505">
        <v>410</v>
      </c>
      <c r="I282" s="505">
        <v>20.5</v>
      </c>
      <c r="J282" s="451">
        <v>0</v>
      </c>
      <c r="K282" s="505">
        <f t="shared" si="277"/>
        <v>430.5</v>
      </c>
      <c r="L282" s="505">
        <v>410</v>
      </c>
      <c r="M282" s="505">
        <v>20.5</v>
      </c>
      <c r="N282" s="483"/>
      <c r="O282" s="451"/>
      <c r="P282" s="451"/>
      <c r="Q282" s="466"/>
      <c r="R282" s="451"/>
      <c r="S282" s="451"/>
      <c r="T282" s="19" t="s">
        <v>1174</v>
      </c>
      <c r="U282" s="511">
        <f t="shared" si="266"/>
        <v>0</v>
      </c>
      <c r="V282" s="511">
        <f t="shared" si="278"/>
        <v>0</v>
      </c>
      <c r="W282" s="511">
        <f t="shared" si="278"/>
        <v>0</v>
      </c>
      <c r="X282" s="445">
        <f t="shared" si="271"/>
        <v>0</v>
      </c>
      <c r="Y282" s="451"/>
      <c r="Z282" s="451"/>
      <c r="AA282" s="451"/>
      <c r="AB282" s="451"/>
      <c r="AC282" s="451"/>
      <c r="AD282" s="451"/>
      <c r="AE282" s="451"/>
      <c r="AF282" s="451"/>
      <c r="AG282" s="451"/>
      <c r="AH282" s="451"/>
      <c r="AI282" s="451"/>
      <c r="AJ282" s="451"/>
      <c r="AK282" s="451"/>
      <c r="AL282" s="15"/>
      <c r="AP282" s="1"/>
      <c r="AQ282" s="1"/>
      <c r="AR282" s="1"/>
    </row>
    <row r="283" spans="1:44" ht="75">
      <c r="A283" s="8">
        <f t="shared" si="269"/>
        <v>32</v>
      </c>
      <c r="B283" s="512" t="s">
        <v>542</v>
      </c>
      <c r="C283" s="8" t="s">
        <v>502</v>
      </c>
      <c r="D283" s="8"/>
      <c r="E283" s="8" t="s">
        <v>510</v>
      </c>
      <c r="F283" s="8" t="s">
        <v>55</v>
      </c>
      <c r="G283" s="505">
        <f t="shared" si="270"/>
        <v>336</v>
      </c>
      <c r="H283" s="505">
        <v>320</v>
      </c>
      <c r="I283" s="505">
        <v>16</v>
      </c>
      <c r="J283" s="451">
        <v>0</v>
      </c>
      <c r="K283" s="505">
        <f t="shared" si="277"/>
        <v>336</v>
      </c>
      <c r="L283" s="505">
        <v>320</v>
      </c>
      <c r="M283" s="505">
        <v>16</v>
      </c>
      <c r="N283" s="483"/>
      <c r="O283" s="451"/>
      <c r="P283" s="451"/>
      <c r="Q283" s="466"/>
      <c r="R283" s="451"/>
      <c r="S283" s="451"/>
      <c r="T283" s="19" t="s">
        <v>1174</v>
      </c>
      <c r="U283" s="511">
        <f t="shared" si="266"/>
        <v>0</v>
      </c>
      <c r="V283" s="511">
        <f t="shared" si="278"/>
        <v>0</v>
      </c>
      <c r="W283" s="511">
        <f t="shared" si="278"/>
        <v>0</v>
      </c>
      <c r="X283" s="445">
        <f t="shared" si="271"/>
        <v>0</v>
      </c>
      <c r="Y283" s="451"/>
      <c r="Z283" s="451"/>
      <c r="AA283" s="451"/>
      <c r="AB283" s="451"/>
      <c r="AC283" s="451"/>
      <c r="AD283" s="451"/>
      <c r="AE283" s="451"/>
      <c r="AF283" s="451"/>
      <c r="AG283" s="451"/>
      <c r="AH283" s="451"/>
      <c r="AI283" s="451"/>
      <c r="AJ283" s="451"/>
      <c r="AK283" s="451"/>
      <c r="AL283" s="15"/>
    </row>
    <row r="284" spans="1:44" s="365" customFormat="1" ht="128.25">
      <c r="A284" s="266" t="s">
        <v>39</v>
      </c>
      <c r="B284" s="236" t="s">
        <v>1006</v>
      </c>
      <c r="C284" s="257"/>
      <c r="D284" s="257"/>
      <c r="E284" s="257"/>
      <c r="F284" s="275"/>
      <c r="G284" s="323">
        <f>+G290</f>
        <v>7364</v>
      </c>
      <c r="H284" s="323">
        <f t="shared" ref="H284:AK284" si="279">+H290</f>
        <v>7014</v>
      </c>
      <c r="I284" s="323">
        <f t="shared" si="279"/>
        <v>350</v>
      </c>
      <c r="J284" s="323">
        <f t="shared" si="279"/>
        <v>0</v>
      </c>
      <c r="K284" s="479"/>
      <c r="L284" s="323"/>
      <c r="M284" s="323"/>
      <c r="N284" s="479"/>
      <c r="O284" s="323"/>
      <c r="P284" s="323"/>
      <c r="Q284" s="539"/>
      <c r="R284" s="323"/>
      <c r="S284" s="323"/>
      <c r="T284" s="323"/>
      <c r="U284" s="323"/>
      <c r="V284" s="323"/>
      <c r="W284" s="323"/>
      <c r="X284" s="323">
        <f t="shared" si="279"/>
        <v>1000</v>
      </c>
      <c r="Y284" s="323">
        <f t="shared" si="279"/>
        <v>952</v>
      </c>
      <c r="Z284" s="323">
        <f t="shared" si="279"/>
        <v>48</v>
      </c>
      <c r="AA284" s="323"/>
      <c r="AB284" s="479"/>
      <c r="AC284" s="479"/>
      <c r="AD284" s="323"/>
      <c r="AE284" s="479"/>
      <c r="AF284" s="479"/>
      <c r="AG284" s="323"/>
      <c r="AH284" s="479"/>
      <c r="AI284" s="479"/>
      <c r="AJ284" s="323"/>
      <c r="AK284" s="323">
        <f t="shared" si="279"/>
        <v>0</v>
      </c>
      <c r="AL284" s="257"/>
      <c r="AP284" s="1"/>
      <c r="AQ284" s="1"/>
      <c r="AR284" s="1"/>
    </row>
    <row r="285" spans="1:44" s="365" customFormat="1" ht="90">
      <c r="A285" s="253">
        <v>1</v>
      </c>
      <c r="B285" s="276" t="s">
        <v>896</v>
      </c>
      <c r="C285" s="257"/>
      <c r="D285" s="257"/>
      <c r="E285" s="257"/>
      <c r="F285" s="9" t="s">
        <v>19</v>
      </c>
      <c r="G285" s="451">
        <f>H285+I285</f>
        <v>3433</v>
      </c>
      <c r="H285" s="451">
        <v>3269</v>
      </c>
      <c r="I285" s="451">
        <v>164</v>
      </c>
      <c r="J285" s="451"/>
      <c r="K285" s="483"/>
      <c r="L285" s="451"/>
      <c r="M285" s="451"/>
      <c r="N285" s="483"/>
      <c r="O285" s="451"/>
      <c r="P285" s="451"/>
      <c r="Q285" s="466"/>
      <c r="R285" s="451"/>
      <c r="S285" s="451"/>
      <c r="T285" s="451"/>
      <c r="U285" s="451"/>
      <c r="V285" s="451"/>
      <c r="W285" s="451"/>
      <c r="X285" s="451">
        <f>Y285+Z285</f>
        <v>618</v>
      </c>
      <c r="Y285" s="451">
        <v>588</v>
      </c>
      <c r="Z285" s="451">
        <v>30</v>
      </c>
      <c r="AA285" s="451"/>
      <c r="AB285" s="483"/>
      <c r="AC285" s="483"/>
      <c r="AD285" s="451"/>
      <c r="AE285" s="483"/>
      <c r="AF285" s="483"/>
      <c r="AG285" s="451"/>
      <c r="AH285" s="483"/>
      <c r="AI285" s="483"/>
      <c r="AJ285" s="451"/>
      <c r="AK285" s="451"/>
      <c r="AL285" s="257"/>
      <c r="AP285" s="1"/>
      <c r="AQ285" s="1"/>
      <c r="AR285" s="1"/>
    </row>
    <row r="286" spans="1:44" s="365" customFormat="1" ht="90">
      <c r="A286" s="253">
        <v>2</v>
      </c>
      <c r="B286" s="276" t="s">
        <v>897</v>
      </c>
      <c r="C286" s="257"/>
      <c r="D286" s="257"/>
      <c r="E286" s="257"/>
      <c r="F286" s="9" t="s">
        <v>19</v>
      </c>
      <c r="G286" s="451">
        <f t="shared" ref="G286:G290" si="280">H286+I286</f>
        <v>3474</v>
      </c>
      <c r="H286" s="451">
        <v>3309</v>
      </c>
      <c r="I286" s="451">
        <v>165</v>
      </c>
      <c r="J286" s="451"/>
      <c r="K286" s="483"/>
      <c r="L286" s="451"/>
      <c r="M286" s="451"/>
      <c r="N286" s="483"/>
      <c r="O286" s="451"/>
      <c r="P286" s="451"/>
      <c r="Q286" s="466"/>
      <c r="R286" s="451"/>
      <c r="S286" s="451"/>
      <c r="T286" s="451"/>
      <c r="U286" s="451"/>
      <c r="V286" s="451"/>
      <c r="W286" s="451"/>
      <c r="X286" s="451">
        <f t="shared" ref="X286:X290" si="281">Y286+Z286</f>
        <v>626</v>
      </c>
      <c r="Y286" s="451">
        <v>596</v>
      </c>
      <c r="Z286" s="451">
        <v>30</v>
      </c>
      <c r="AA286" s="451"/>
      <c r="AB286" s="483"/>
      <c r="AC286" s="483"/>
      <c r="AD286" s="451"/>
      <c r="AE286" s="483"/>
      <c r="AF286" s="483"/>
      <c r="AG286" s="451"/>
      <c r="AH286" s="483"/>
      <c r="AI286" s="483"/>
      <c r="AJ286" s="451"/>
      <c r="AK286" s="451"/>
      <c r="AL286" s="257"/>
      <c r="AP286" s="1"/>
      <c r="AQ286" s="1"/>
      <c r="AR286" s="1"/>
    </row>
    <row r="287" spans="1:44" s="365" customFormat="1" ht="90">
      <c r="A287" s="253">
        <v>3</v>
      </c>
      <c r="B287" s="276" t="s">
        <v>898</v>
      </c>
      <c r="C287" s="257"/>
      <c r="D287" s="257"/>
      <c r="E287" s="257"/>
      <c r="F287" s="9" t="s">
        <v>19</v>
      </c>
      <c r="G287" s="451">
        <f t="shared" si="280"/>
        <v>3798</v>
      </c>
      <c r="H287" s="451">
        <v>3617</v>
      </c>
      <c r="I287" s="451">
        <v>181</v>
      </c>
      <c r="J287" s="451"/>
      <c r="K287" s="483"/>
      <c r="L287" s="451"/>
      <c r="M287" s="451"/>
      <c r="N287" s="483"/>
      <c r="O287" s="451"/>
      <c r="P287" s="451"/>
      <c r="Q287" s="466"/>
      <c r="R287" s="451"/>
      <c r="S287" s="451"/>
      <c r="T287" s="451"/>
      <c r="U287" s="451"/>
      <c r="V287" s="451"/>
      <c r="W287" s="451"/>
      <c r="X287" s="451">
        <f t="shared" si="281"/>
        <v>684</v>
      </c>
      <c r="Y287" s="451">
        <v>651</v>
      </c>
      <c r="Z287" s="451">
        <v>33</v>
      </c>
      <c r="AA287" s="451"/>
      <c r="AB287" s="483"/>
      <c r="AC287" s="483"/>
      <c r="AD287" s="451"/>
      <c r="AE287" s="483"/>
      <c r="AF287" s="483"/>
      <c r="AG287" s="451"/>
      <c r="AH287" s="483"/>
      <c r="AI287" s="483"/>
      <c r="AJ287" s="451"/>
      <c r="AK287" s="451"/>
      <c r="AL287" s="257"/>
      <c r="AP287" s="1"/>
      <c r="AQ287" s="1"/>
      <c r="AR287" s="1"/>
    </row>
    <row r="288" spans="1:44" s="365" customFormat="1" ht="90">
      <c r="A288" s="253">
        <v>4</v>
      </c>
      <c r="B288" s="276" t="s">
        <v>899</v>
      </c>
      <c r="C288" s="257"/>
      <c r="D288" s="257"/>
      <c r="E288" s="257"/>
      <c r="F288" s="9" t="s">
        <v>19</v>
      </c>
      <c r="G288" s="451">
        <f t="shared" si="280"/>
        <v>3440</v>
      </c>
      <c r="H288" s="451">
        <v>3276</v>
      </c>
      <c r="I288" s="451">
        <v>164</v>
      </c>
      <c r="J288" s="451"/>
      <c r="K288" s="483"/>
      <c r="L288" s="451"/>
      <c r="M288" s="451"/>
      <c r="N288" s="483"/>
      <c r="O288" s="451"/>
      <c r="P288" s="451"/>
      <c r="Q288" s="466"/>
      <c r="R288" s="451"/>
      <c r="S288" s="451"/>
      <c r="T288" s="451"/>
      <c r="U288" s="451"/>
      <c r="V288" s="451"/>
      <c r="W288" s="451"/>
      <c r="X288" s="451">
        <f t="shared" si="281"/>
        <v>619</v>
      </c>
      <c r="Y288" s="451">
        <v>590</v>
      </c>
      <c r="Z288" s="451">
        <v>29</v>
      </c>
      <c r="AA288" s="451"/>
      <c r="AB288" s="483"/>
      <c r="AC288" s="483"/>
      <c r="AD288" s="451"/>
      <c r="AE288" s="483"/>
      <c r="AF288" s="483"/>
      <c r="AG288" s="451"/>
      <c r="AH288" s="483"/>
      <c r="AI288" s="483"/>
      <c r="AJ288" s="451"/>
      <c r="AK288" s="451"/>
      <c r="AL288" s="257"/>
      <c r="AP288" s="1"/>
      <c r="AQ288" s="1"/>
      <c r="AR288" s="1"/>
    </row>
    <row r="289" spans="1:44" s="365" customFormat="1" ht="90">
      <c r="A289" s="249" t="s">
        <v>1004</v>
      </c>
      <c r="B289" s="519" t="s">
        <v>1005</v>
      </c>
      <c r="C289" s="273"/>
      <c r="D289" s="273"/>
      <c r="E289" s="273"/>
      <c r="F289" s="415"/>
      <c r="G289" s="453">
        <f>+G290+G291</f>
        <v>7364</v>
      </c>
      <c r="H289" s="453">
        <f t="shared" ref="H289:T289" si="282">+H290+H291</f>
        <v>7014</v>
      </c>
      <c r="I289" s="453">
        <f t="shared" si="282"/>
        <v>350</v>
      </c>
      <c r="J289" s="453">
        <f t="shared" si="282"/>
        <v>0</v>
      </c>
      <c r="K289" s="453">
        <f t="shared" si="282"/>
        <v>5508.2415000000001</v>
      </c>
      <c r="L289" s="453">
        <f t="shared" si="282"/>
        <v>5250.2415000000001</v>
      </c>
      <c r="M289" s="453">
        <f t="shared" si="282"/>
        <v>258</v>
      </c>
      <c r="N289" s="453">
        <f t="shared" si="282"/>
        <v>6809.2415000000001</v>
      </c>
      <c r="O289" s="453">
        <f t="shared" si="282"/>
        <v>6488.2415000000001</v>
      </c>
      <c r="P289" s="453">
        <f t="shared" si="282"/>
        <v>321</v>
      </c>
      <c r="Q289" s="453">
        <f t="shared" si="282"/>
        <v>8665</v>
      </c>
      <c r="R289" s="453">
        <f t="shared" si="282"/>
        <v>8252</v>
      </c>
      <c r="S289" s="453">
        <f t="shared" si="282"/>
        <v>413</v>
      </c>
      <c r="T289" s="453">
        <f t="shared" si="282"/>
        <v>0</v>
      </c>
      <c r="U289" s="453"/>
      <c r="V289" s="453"/>
      <c r="W289" s="453"/>
      <c r="X289" s="453">
        <f t="shared" ref="X289:AK289" si="283">+X290</f>
        <v>1000</v>
      </c>
      <c r="Y289" s="453">
        <f t="shared" si="283"/>
        <v>952</v>
      </c>
      <c r="Z289" s="453">
        <f t="shared" si="283"/>
        <v>48</v>
      </c>
      <c r="AA289" s="453"/>
      <c r="AB289" s="486"/>
      <c r="AC289" s="486"/>
      <c r="AD289" s="453"/>
      <c r="AE289" s="486"/>
      <c r="AF289" s="486"/>
      <c r="AG289" s="453"/>
      <c r="AH289" s="486"/>
      <c r="AI289" s="486"/>
      <c r="AJ289" s="453"/>
      <c r="AK289" s="453">
        <f t="shared" si="283"/>
        <v>0</v>
      </c>
      <c r="AL289" s="257"/>
      <c r="AP289" s="1"/>
      <c r="AQ289" s="1"/>
      <c r="AR289" s="1"/>
    </row>
    <row r="290" spans="1:44" s="365" customFormat="1" ht="90">
      <c r="A290" s="253" t="s">
        <v>891</v>
      </c>
      <c r="B290" s="241" t="s">
        <v>900</v>
      </c>
      <c r="C290" s="257"/>
      <c r="D290" s="257"/>
      <c r="E290" s="257"/>
      <c r="F290" s="9" t="s">
        <v>19</v>
      </c>
      <c r="G290" s="255">
        <f t="shared" si="280"/>
        <v>7364</v>
      </c>
      <c r="H290" s="255">
        <v>7014</v>
      </c>
      <c r="I290" s="255">
        <v>350</v>
      </c>
      <c r="J290" s="255"/>
      <c r="K290" s="489">
        <f>+L290+M290</f>
        <v>5508.2415000000001</v>
      </c>
      <c r="L290" s="554">
        <f>+H290-R290</f>
        <v>5250.2415000000001</v>
      </c>
      <c r="M290" s="554">
        <f>+I290-S290</f>
        <v>258</v>
      </c>
      <c r="N290" s="489"/>
      <c r="O290" s="255"/>
      <c r="P290" s="255"/>
      <c r="Q290" s="542">
        <f>+R290+S290</f>
        <v>1855.7584999999999</v>
      </c>
      <c r="R290" s="255">
        <f>952+811.7585</f>
        <v>1763.7584999999999</v>
      </c>
      <c r="S290" s="255">
        <f>44+48</f>
        <v>92</v>
      </c>
      <c r="T290" s="255"/>
      <c r="U290" s="255"/>
      <c r="V290" s="255"/>
      <c r="W290" s="255"/>
      <c r="X290" s="255">
        <f t="shared" si="281"/>
        <v>1000</v>
      </c>
      <c r="Y290" s="255">
        <v>952</v>
      </c>
      <c r="Z290" s="255">
        <v>48</v>
      </c>
      <c r="AA290" s="255"/>
      <c r="AB290" s="489"/>
      <c r="AC290" s="489"/>
      <c r="AD290" s="255"/>
      <c r="AE290" s="489"/>
      <c r="AF290" s="489"/>
      <c r="AG290" s="255"/>
      <c r="AH290" s="489"/>
      <c r="AI290" s="489"/>
      <c r="AJ290" s="255"/>
      <c r="AK290" s="255"/>
      <c r="AL290" s="257"/>
      <c r="AP290" s="1"/>
      <c r="AQ290" s="1"/>
      <c r="AR290" s="1"/>
    </row>
    <row r="291" spans="1:44">
      <c r="A291" s="253" t="s">
        <v>891</v>
      </c>
      <c r="B291" s="545" t="s">
        <v>1175</v>
      </c>
      <c r="C291" s="257"/>
      <c r="D291" s="257"/>
      <c r="E291" s="257"/>
      <c r="F291" s="275" t="s">
        <v>51</v>
      </c>
      <c r="G291" s="493"/>
      <c r="H291" s="552"/>
      <c r="I291" s="553"/>
      <c r="J291" s="493"/>
      <c r="K291" s="494"/>
      <c r="L291" s="493"/>
      <c r="M291" s="493"/>
      <c r="N291" s="555">
        <f>+O291+P291</f>
        <v>6809.2415000000001</v>
      </c>
      <c r="O291" s="255">
        <f>5250.2415+1238</f>
        <v>6488.2415000000001</v>
      </c>
      <c r="P291" s="255">
        <f>258+63</f>
        <v>321</v>
      </c>
      <c r="Q291" s="556">
        <f>+R291+S291</f>
        <v>6809.2415000000001</v>
      </c>
      <c r="R291" s="553">
        <f>+O291</f>
        <v>6488.2415000000001</v>
      </c>
      <c r="S291" s="553">
        <f>+P291</f>
        <v>321</v>
      </c>
      <c r="T291" s="493"/>
      <c r="U291" s="493"/>
      <c r="V291" s="493"/>
      <c r="W291" s="493"/>
      <c r="X291" s="493"/>
      <c r="Y291" s="493"/>
      <c r="Z291" s="493"/>
      <c r="AA291" s="493"/>
      <c r="AB291" s="494"/>
      <c r="AC291" s="494"/>
      <c r="AD291" s="493"/>
      <c r="AE291" s="494"/>
      <c r="AF291" s="494"/>
      <c r="AG291" s="493"/>
      <c r="AH291" s="494"/>
      <c r="AI291" s="494"/>
      <c r="AJ291" s="493"/>
      <c r="AK291" s="493"/>
      <c r="AL291" s="257"/>
    </row>
  </sheetData>
  <mergeCells count="22">
    <mergeCell ref="B10:C10"/>
    <mergeCell ref="AM12:AR12"/>
    <mergeCell ref="K5:M5"/>
    <mergeCell ref="N5:P5"/>
    <mergeCell ref="Q5:S5"/>
    <mergeCell ref="T5:T6"/>
    <mergeCell ref="U5:W5"/>
    <mergeCell ref="X5:Z5"/>
    <mergeCell ref="AA5:AC5"/>
    <mergeCell ref="AD5:AF5"/>
    <mergeCell ref="AG5:AI5"/>
    <mergeCell ref="AL5:AL6"/>
    <mergeCell ref="AK1:AL1"/>
    <mergeCell ref="A5:A6"/>
    <mergeCell ref="B5:B6"/>
    <mergeCell ref="C5:C6"/>
    <mergeCell ref="E5:E6"/>
    <mergeCell ref="F5:F6"/>
    <mergeCell ref="G5:J5"/>
    <mergeCell ref="A2:T2"/>
    <mergeCell ref="A3:T3"/>
    <mergeCell ref="A4:T4"/>
  </mergeCells>
  <pageMargins left="0.7" right="0.7" top="0.75" bottom="0.75" header="0.3" footer="0.3"/>
  <pageSetup paperSize="9" scale="60" fitToHeight="0" orientation="landscape"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AH333"/>
  <sheetViews>
    <sheetView topLeftCell="G225" zoomScale="85" zoomScaleNormal="85" workbookViewId="0">
      <selection activeCell="M181" sqref="M181"/>
    </sheetView>
  </sheetViews>
  <sheetFormatPr defaultRowHeight="15"/>
  <cols>
    <col min="1" max="1" width="6.85546875" style="29" customWidth="1"/>
    <col min="2" max="2" width="27.42578125" style="30" customWidth="1"/>
    <col min="3" max="3" width="12.85546875" style="31" customWidth="1"/>
    <col min="4" max="4" width="12.85546875" style="31" hidden="1" customWidth="1"/>
    <col min="5" max="5" width="40.42578125" style="31" hidden="1" customWidth="1"/>
    <col min="6" max="6" width="9.140625" style="1" customWidth="1"/>
    <col min="7" max="7" width="12.85546875" style="32" customWidth="1"/>
    <col min="8" max="8" width="12.85546875" style="296" customWidth="1"/>
    <col min="9" max="9" width="12.85546875" style="139" customWidth="1"/>
    <col min="10" max="10" width="10.7109375" style="32" customWidth="1"/>
    <col min="11" max="11" width="12.5703125" style="32" customWidth="1"/>
    <col min="12" max="12" width="11.7109375" style="32" customWidth="1"/>
    <col min="13" max="13" width="10.7109375" style="32" customWidth="1"/>
    <col min="14" max="14" width="12.7109375" style="32" customWidth="1"/>
    <col min="15" max="15" width="10.85546875" style="32" customWidth="1"/>
    <col min="16" max="16" width="13.85546875" style="32" customWidth="1"/>
    <col min="17" max="17" width="11.28515625" style="32" customWidth="1"/>
    <col min="18" max="18" width="11.28515625" style="491" customWidth="1"/>
    <col min="19" max="19" width="14.28515625" style="491" customWidth="1"/>
    <col min="20" max="20" width="11.28515625" style="32" customWidth="1"/>
    <col min="21" max="21" width="11.28515625" style="491" customWidth="1"/>
    <col min="22" max="22" width="14.140625" style="491" customWidth="1"/>
    <col min="23" max="23" width="11.28515625" style="32" customWidth="1"/>
    <col min="24" max="24" width="11.28515625" style="491" customWidth="1"/>
    <col min="25" max="25" width="13.28515625" style="491" customWidth="1"/>
    <col min="26" max="26" width="11.28515625" style="32" customWidth="1"/>
    <col min="27" max="27" width="9.7109375" style="32" customWidth="1"/>
    <col min="28" max="28" width="6.140625" style="31" customWidth="1"/>
    <col min="29" max="31" width="13.7109375" style="365" customWidth="1"/>
    <col min="32" max="258" width="8.85546875" style="1"/>
    <col min="259" max="259" width="6.85546875" style="1" customWidth="1"/>
    <col min="260" max="260" width="27.42578125" style="1" customWidth="1"/>
    <col min="261" max="261" width="12.85546875" style="1" customWidth="1"/>
    <col min="262" max="262" width="0" style="1" hidden="1" customWidth="1"/>
    <col min="263" max="263" width="40.42578125" style="1" customWidth="1"/>
    <col min="264" max="264" width="9.140625" style="1" customWidth="1"/>
    <col min="265" max="266" width="11" style="1" customWidth="1"/>
    <col min="267" max="267" width="12.28515625" style="1" customWidth="1"/>
    <col min="268" max="270" width="12.85546875" style="1" customWidth="1"/>
    <col min="271" max="271" width="10.7109375" style="1" customWidth="1"/>
    <col min="272" max="272" width="12.7109375" style="1" customWidth="1"/>
    <col min="273" max="273" width="10.85546875" style="1" customWidth="1"/>
    <col min="274" max="274" width="11.28515625" style="1" customWidth="1"/>
    <col min="275" max="275" width="9.7109375" style="1" customWidth="1"/>
    <col min="276" max="276" width="11.140625" style="1" customWidth="1"/>
    <col min="277" max="277" width="12.42578125" style="1" customWidth="1"/>
    <col min="278" max="283" width="9.7109375" style="1" customWidth="1"/>
    <col min="284" max="284" width="6.140625" style="1" customWidth="1"/>
    <col min="285" max="514" width="8.85546875" style="1"/>
    <col min="515" max="515" width="6.85546875" style="1" customWidth="1"/>
    <col min="516" max="516" width="27.42578125" style="1" customWidth="1"/>
    <col min="517" max="517" width="12.85546875" style="1" customWidth="1"/>
    <col min="518" max="518" width="0" style="1" hidden="1" customWidth="1"/>
    <col min="519" max="519" width="40.42578125" style="1" customWidth="1"/>
    <col min="520" max="520" width="9.140625" style="1" customWidth="1"/>
    <col min="521" max="522" width="11" style="1" customWidth="1"/>
    <col min="523" max="523" width="12.28515625" style="1" customWidth="1"/>
    <col min="524" max="526" width="12.85546875" style="1" customWidth="1"/>
    <col min="527" max="527" width="10.7109375" style="1" customWidth="1"/>
    <col min="528" max="528" width="12.7109375" style="1" customWidth="1"/>
    <col min="529" max="529" width="10.85546875" style="1" customWidth="1"/>
    <col min="530" max="530" width="11.28515625" style="1" customWidth="1"/>
    <col min="531" max="531" width="9.7109375" style="1" customWidth="1"/>
    <col min="532" max="532" width="11.140625" style="1" customWidth="1"/>
    <col min="533" max="533" width="12.42578125" style="1" customWidth="1"/>
    <col min="534" max="539" width="9.7109375" style="1" customWidth="1"/>
    <col min="540" max="540" width="6.140625" style="1" customWidth="1"/>
    <col min="541" max="770" width="8.85546875" style="1"/>
    <col min="771" max="771" width="6.85546875" style="1" customWidth="1"/>
    <col min="772" max="772" width="27.42578125" style="1" customWidth="1"/>
    <col min="773" max="773" width="12.85546875" style="1" customWidth="1"/>
    <col min="774" max="774" width="0" style="1" hidden="1" customWidth="1"/>
    <col min="775" max="775" width="40.42578125" style="1" customWidth="1"/>
    <col min="776" max="776" width="9.140625" style="1" customWidth="1"/>
    <col min="777" max="778" width="11" style="1" customWidth="1"/>
    <col min="779" max="779" width="12.28515625" style="1" customWidth="1"/>
    <col min="780" max="782" width="12.85546875" style="1" customWidth="1"/>
    <col min="783" max="783" width="10.7109375" style="1" customWidth="1"/>
    <col min="784" max="784" width="12.7109375" style="1" customWidth="1"/>
    <col min="785" max="785" width="10.85546875" style="1" customWidth="1"/>
    <col min="786" max="786" width="11.28515625" style="1" customWidth="1"/>
    <col min="787" max="787" width="9.7109375" style="1" customWidth="1"/>
    <col min="788" max="788" width="11.140625" style="1" customWidth="1"/>
    <col min="789" max="789" width="12.42578125" style="1" customWidth="1"/>
    <col min="790" max="795" width="9.7109375" style="1" customWidth="1"/>
    <col min="796" max="796" width="6.140625" style="1" customWidth="1"/>
    <col min="797" max="1026" width="8.85546875" style="1"/>
    <col min="1027" max="1027" width="6.85546875" style="1" customWidth="1"/>
    <col min="1028" max="1028" width="27.42578125" style="1" customWidth="1"/>
    <col min="1029" max="1029" width="12.85546875" style="1" customWidth="1"/>
    <col min="1030" max="1030" width="0" style="1" hidden="1" customWidth="1"/>
    <col min="1031" max="1031" width="40.42578125" style="1" customWidth="1"/>
    <col min="1032" max="1032" width="9.140625" style="1" customWidth="1"/>
    <col min="1033" max="1034" width="11" style="1" customWidth="1"/>
    <col min="1035" max="1035" width="12.28515625" style="1" customWidth="1"/>
    <col min="1036" max="1038" width="12.85546875" style="1" customWidth="1"/>
    <col min="1039" max="1039" width="10.7109375" style="1" customWidth="1"/>
    <col min="1040" max="1040" width="12.7109375" style="1" customWidth="1"/>
    <col min="1041" max="1041" width="10.85546875" style="1" customWidth="1"/>
    <col min="1042" max="1042" width="11.28515625" style="1" customWidth="1"/>
    <col min="1043" max="1043" width="9.7109375" style="1" customWidth="1"/>
    <col min="1044" max="1044" width="11.140625" style="1" customWidth="1"/>
    <col min="1045" max="1045" width="12.42578125" style="1" customWidth="1"/>
    <col min="1046" max="1051" width="9.7109375" style="1" customWidth="1"/>
    <col min="1052" max="1052" width="6.140625" style="1" customWidth="1"/>
    <col min="1053" max="1282" width="8.85546875" style="1"/>
    <col min="1283" max="1283" width="6.85546875" style="1" customWidth="1"/>
    <col min="1284" max="1284" width="27.42578125" style="1" customWidth="1"/>
    <col min="1285" max="1285" width="12.85546875" style="1" customWidth="1"/>
    <col min="1286" max="1286" width="0" style="1" hidden="1" customWidth="1"/>
    <col min="1287" max="1287" width="40.42578125" style="1" customWidth="1"/>
    <col min="1288" max="1288" width="9.140625" style="1" customWidth="1"/>
    <col min="1289" max="1290" width="11" style="1" customWidth="1"/>
    <col min="1291" max="1291" width="12.28515625" style="1" customWidth="1"/>
    <col min="1292" max="1294" width="12.85546875" style="1" customWidth="1"/>
    <col min="1295" max="1295" width="10.7109375" style="1" customWidth="1"/>
    <col min="1296" max="1296" width="12.7109375" style="1" customWidth="1"/>
    <col min="1297" max="1297" width="10.85546875" style="1" customWidth="1"/>
    <col min="1298" max="1298" width="11.28515625" style="1" customWidth="1"/>
    <col min="1299" max="1299" width="9.7109375" style="1" customWidth="1"/>
    <col min="1300" max="1300" width="11.140625" style="1" customWidth="1"/>
    <col min="1301" max="1301" width="12.42578125" style="1" customWidth="1"/>
    <col min="1302" max="1307" width="9.7109375" style="1" customWidth="1"/>
    <col min="1308" max="1308" width="6.140625" style="1" customWidth="1"/>
    <col min="1309" max="1538" width="8.85546875" style="1"/>
    <col min="1539" max="1539" width="6.85546875" style="1" customWidth="1"/>
    <col min="1540" max="1540" width="27.42578125" style="1" customWidth="1"/>
    <col min="1541" max="1541" width="12.85546875" style="1" customWidth="1"/>
    <col min="1542" max="1542" width="0" style="1" hidden="1" customWidth="1"/>
    <col min="1543" max="1543" width="40.42578125" style="1" customWidth="1"/>
    <col min="1544" max="1544" width="9.140625" style="1" customWidth="1"/>
    <col min="1545" max="1546" width="11" style="1" customWidth="1"/>
    <col min="1547" max="1547" width="12.28515625" style="1" customWidth="1"/>
    <col min="1548" max="1550" width="12.85546875" style="1" customWidth="1"/>
    <col min="1551" max="1551" width="10.7109375" style="1" customWidth="1"/>
    <col min="1552" max="1552" width="12.7109375" style="1" customWidth="1"/>
    <col min="1553" max="1553" width="10.85546875" style="1" customWidth="1"/>
    <col min="1554" max="1554" width="11.28515625" style="1" customWidth="1"/>
    <col min="1555" max="1555" width="9.7109375" style="1" customWidth="1"/>
    <col min="1556" max="1556" width="11.140625" style="1" customWidth="1"/>
    <col min="1557" max="1557" width="12.42578125" style="1" customWidth="1"/>
    <col min="1558" max="1563" width="9.7109375" style="1" customWidth="1"/>
    <col min="1564" max="1564" width="6.140625" style="1" customWidth="1"/>
    <col min="1565" max="1794" width="8.85546875" style="1"/>
    <col min="1795" max="1795" width="6.85546875" style="1" customWidth="1"/>
    <col min="1796" max="1796" width="27.42578125" style="1" customWidth="1"/>
    <col min="1797" max="1797" width="12.85546875" style="1" customWidth="1"/>
    <col min="1798" max="1798" width="0" style="1" hidden="1" customWidth="1"/>
    <col min="1799" max="1799" width="40.42578125" style="1" customWidth="1"/>
    <col min="1800" max="1800" width="9.140625" style="1" customWidth="1"/>
    <col min="1801" max="1802" width="11" style="1" customWidth="1"/>
    <col min="1803" max="1803" width="12.28515625" style="1" customWidth="1"/>
    <col min="1804" max="1806" width="12.85546875" style="1" customWidth="1"/>
    <col min="1807" max="1807" width="10.7109375" style="1" customWidth="1"/>
    <col min="1808" max="1808" width="12.7109375" style="1" customWidth="1"/>
    <col min="1809" max="1809" width="10.85546875" style="1" customWidth="1"/>
    <col min="1810" max="1810" width="11.28515625" style="1" customWidth="1"/>
    <col min="1811" max="1811" width="9.7109375" style="1" customWidth="1"/>
    <col min="1812" max="1812" width="11.140625" style="1" customWidth="1"/>
    <col min="1813" max="1813" width="12.42578125" style="1" customWidth="1"/>
    <col min="1814" max="1819" width="9.7109375" style="1" customWidth="1"/>
    <col min="1820" max="1820" width="6.140625" style="1" customWidth="1"/>
    <col min="1821" max="2050" width="8.85546875" style="1"/>
    <col min="2051" max="2051" width="6.85546875" style="1" customWidth="1"/>
    <col min="2052" max="2052" width="27.42578125" style="1" customWidth="1"/>
    <col min="2053" max="2053" width="12.85546875" style="1" customWidth="1"/>
    <col min="2054" max="2054" width="0" style="1" hidden="1" customWidth="1"/>
    <col min="2055" max="2055" width="40.42578125" style="1" customWidth="1"/>
    <col min="2056" max="2056" width="9.140625" style="1" customWidth="1"/>
    <col min="2057" max="2058" width="11" style="1" customWidth="1"/>
    <col min="2059" max="2059" width="12.28515625" style="1" customWidth="1"/>
    <col min="2060" max="2062" width="12.85546875" style="1" customWidth="1"/>
    <col min="2063" max="2063" width="10.7109375" style="1" customWidth="1"/>
    <col min="2064" max="2064" width="12.7109375" style="1" customWidth="1"/>
    <col min="2065" max="2065" width="10.85546875" style="1" customWidth="1"/>
    <col min="2066" max="2066" width="11.28515625" style="1" customWidth="1"/>
    <col min="2067" max="2067" width="9.7109375" style="1" customWidth="1"/>
    <col min="2068" max="2068" width="11.140625" style="1" customWidth="1"/>
    <col min="2069" max="2069" width="12.42578125" style="1" customWidth="1"/>
    <col min="2070" max="2075" width="9.7109375" style="1" customWidth="1"/>
    <col min="2076" max="2076" width="6.140625" style="1" customWidth="1"/>
    <col min="2077" max="2306" width="8.85546875" style="1"/>
    <col min="2307" max="2307" width="6.85546875" style="1" customWidth="1"/>
    <col min="2308" max="2308" width="27.42578125" style="1" customWidth="1"/>
    <col min="2309" max="2309" width="12.85546875" style="1" customWidth="1"/>
    <col min="2310" max="2310" width="0" style="1" hidden="1" customWidth="1"/>
    <col min="2311" max="2311" width="40.42578125" style="1" customWidth="1"/>
    <col min="2312" max="2312" width="9.140625" style="1" customWidth="1"/>
    <col min="2313" max="2314" width="11" style="1" customWidth="1"/>
    <col min="2315" max="2315" width="12.28515625" style="1" customWidth="1"/>
    <col min="2316" max="2318" width="12.85546875" style="1" customWidth="1"/>
    <col min="2319" max="2319" width="10.7109375" style="1" customWidth="1"/>
    <col min="2320" max="2320" width="12.7109375" style="1" customWidth="1"/>
    <col min="2321" max="2321" width="10.85546875" style="1" customWidth="1"/>
    <col min="2322" max="2322" width="11.28515625" style="1" customWidth="1"/>
    <col min="2323" max="2323" width="9.7109375" style="1" customWidth="1"/>
    <col min="2324" max="2324" width="11.140625" style="1" customWidth="1"/>
    <col min="2325" max="2325" width="12.42578125" style="1" customWidth="1"/>
    <col min="2326" max="2331" width="9.7109375" style="1" customWidth="1"/>
    <col min="2332" max="2332" width="6.140625" style="1" customWidth="1"/>
    <col min="2333" max="2562" width="8.85546875" style="1"/>
    <col min="2563" max="2563" width="6.85546875" style="1" customWidth="1"/>
    <col min="2564" max="2564" width="27.42578125" style="1" customWidth="1"/>
    <col min="2565" max="2565" width="12.85546875" style="1" customWidth="1"/>
    <col min="2566" max="2566" width="0" style="1" hidden="1" customWidth="1"/>
    <col min="2567" max="2567" width="40.42578125" style="1" customWidth="1"/>
    <col min="2568" max="2568" width="9.140625" style="1" customWidth="1"/>
    <col min="2569" max="2570" width="11" style="1" customWidth="1"/>
    <col min="2571" max="2571" width="12.28515625" style="1" customWidth="1"/>
    <col min="2572" max="2574" width="12.85546875" style="1" customWidth="1"/>
    <col min="2575" max="2575" width="10.7109375" style="1" customWidth="1"/>
    <col min="2576" max="2576" width="12.7109375" style="1" customWidth="1"/>
    <col min="2577" max="2577" width="10.85546875" style="1" customWidth="1"/>
    <col min="2578" max="2578" width="11.28515625" style="1" customWidth="1"/>
    <col min="2579" max="2579" width="9.7109375" style="1" customWidth="1"/>
    <col min="2580" max="2580" width="11.140625" style="1" customWidth="1"/>
    <col min="2581" max="2581" width="12.42578125" style="1" customWidth="1"/>
    <col min="2582" max="2587" width="9.7109375" style="1" customWidth="1"/>
    <col min="2588" max="2588" width="6.140625" style="1" customWidth="1"/>
    <col min="2589" max="2818" width="8.85546875" style="1"/>
    <col min="2819" max="2819" width="6.85546875" style="1" customWidth="1"/>
    <col min="2820" max="2820" width="27.42578125" style="1" customWidth="1"/>
    <col min="2821" max="2821" width="12.85546875" style="1" customWidth="1"/>
    <col min="2822" max="2822" width="0" style="1" hidden="1" customWidth="1"/>
    <col min="2823" max="2823" width="40.42578125" style="1" customWidth="1"/>
    <col min="2824" max="2824" width="9.140625" style="1" customWidth="1"/>
    <col min="2825" max="2826" width="11" style="1" customWidth="1"/>
    <col min="2827" max="2827" width="12.28515625" style="1" customWidth="1"/>
    <col min="2828" max="2830" width="12.85546875" style="1" customWidth="1"/>
    <col min="2831" max="2831" width="10.7109375" style="1" customWidth="1"/>
    <col min="2832" max="2832" width="12.7109375" style="1" customWidth="1"/>
    <col min="2833" max="2833" width="10.85546875" style="1" customWidth="1"/>
    <col min="2834" max="2834" width="11.28515625" style="1" customWidth="1"/>
    <col min="2835" max="2835" width="9.7109375" style="1" customWidth="1"/>
    <col min="2836" max="2836" width="11.140625" style="1" customWidth="1"/>
    <col min="2837" max="2837" width="12.42578125" style="1" customWidth="1"/>
    <col min="2838" max="2843" width="9.7109375" style="1" customWidth="1"/>
    <col min="2844" max="2844" width="6.140625" style="1" customWidth="1"/>
    <col min="2845" max="3074" width="8.85546875" style="1"/>
    <col min="3075" max="3075" width="6.85546875" style="1" customWidth="1"/>
    <col min="3076" max="3076" width="27.42578125" style="1" customWidth="1"/>
    <col min="3077" max="3077" width="12.85546875" style="1" customWidth="1"/>
    <col min="3078" max="3078" width="0" style="1" hidden="1" customWidth="1"/>
    <col min="3079" max="3079" width="40.42578125" style="1" customWidth="1"/>
    <col min="3080" max="3080" width="9.140625" style="1" customWidth="1"/>
    <col min="3081" max="3082" width="11" style="1" customWidth="1"/>
    <col min="3083" max="3083" width="12.28515625" style="1" customWidth="1"/>
    <col min="3084" max="3086" width="12.85546875" style="1" customWidth="1"/>
    <col min="3087" max="3087" width="10.7109375" style="1" customWidth="1"/>
    <col min="3088" max="3088" width="12.7109375" style="1" customWidth="1"/>
    <col min="3089" max="3089" width="10.85546875" style="1" customWidth="1"/>
    <col min="3090" max="3090" width="11.28515625" style="1" customWidth="1"/>
    <col min="3091" max="3091" width="9.7109375" style="1" customWidth="1"/>
    <col min="3092" max="3092" width="11.140625" style="1" customWidth="1"/>
    <col min="3093" max="3093" width="12.42578125" style="1" customWidth="1"/>
    <col min="3094" max="3099" width="9.7109375" style="1" customWidth="1"/>
    <col min="3100" max="3100" width="6.140625" style="1" customWidth="1"/>
    <col min="3101" max="3330" width="8.85546875" style="1"/>
    <col min="3331" max="3331" width="6.85546875" style="1" customWidth="1"/>
    <col min="3332" max="3332" width="27.42578125" style="1" customWidth="1"/>
    <col min="3333" max="3333" width="12.85546875" style="1" customWidth="1"/>
    <col min="3334" max="3334" width="0" style="1" hidden="1" customWidth="1"/>
    <col min="3335" max="3335" width="40.42578125" style="1" customWidth="1"/>
    <col min="3336" max="3336" width="9.140625" style="1" customWidth="1"/>
    <col min="3337" max="3338" width="11" style="1" customWidth="1"/>
    <col min="3339" max="3339" width="12.28515625" style="1" customWidth="1"/>
    <col min="3340" max="3342" width="12.85546875" style="1" customWidth="1"/>
    <col min="3343" max="3343" width="10.7109375" style="1" customWidth="1"/>
    <col min="3344" max="3344" width="12.7109375" style="1" customWidth="1"/>
    <col min="3345" max="3345" width="10.85546875" style="1" customWidth="1"/>
    <col min="3346" max="3346" width="11.28515625" style="1" customWidth="1"/>
    <col min="3347" max="3347" width="9.7109375" style="1" customWidth="1"/>
    <col min="3348" max="3348" width="11.140625" style="1" customWidth="1"/>
    <col min="3349" max="3349" width="12.42578125" style="1" customWidth="1"/>
    <col min="3350" max="3355" width="9.7109375" style="1" customWidth="1"/>
    <col min="3356" max="3356" width="6.140625" style="1" customWidth="1"/>
    <col min="3357" max="3586" width="8.85546875" style="1"/>
    <col min="3587" max="3587" width="6.85546875" style="1" customWidth="1"/>
    <col min="3588" max="3588" width="27.42578125" style="1" customWidth="1"/>
    <col min="3589" max="3589" width="12.85546875" style="1" customWidth="1"/>
    <col min="3590" max="3590" width="0" style="1" hidden="1" customWidth="1"/>
    <col min="3591" max="3591" width="40.42578125" style="1" customWidth="1"/>
    <col min="3592" max="3592" width="9.140625" style="1" customWidth="1"/>
    <col min="3593" max="3594" width="11" style="1" customWidth="1"/>
    <col min="3595" max="3595" width="12.28515625" style="1" customWidth="1"/>
    <col min="3596" max="3598" width="12.85546875" style="1" customWidth="1"/>
    <col min="3599" max="3599" width="10.7109375" style="1" customWidth="1"/>
    <col min="3600" max="3600" width="12.7109375" style="1" customWidth="1"/>
    <col min="3601" max="3601" width="10.85546875" style="1" customWidth="1"/>
    <col min="3602" max="3602" width="11.28515625" style="1" customWidth="1"/>
    <col min="3603" max="3603" width="9.7109375" style="1" customWidth="1"/>
    <col min="3604" max="3604" width="11.140625" style="1" customWidth="1"/>
    <col min="3605" max="3605" width="12.42578125" style="1" customWidth="1"/>
    <col min="3606" max="3611" width="9.7109375" style="1" customWidth="1"/>
    <col min="3612" max="3612" width="6.140625" style="1" customWidth="1"/>
    <col min="3613" max="3842" width="8.85546875" style="1"/>
    <col min="3843" max="3843" width="6.85546875" style="1" customWidth="1"/>
    <col min="3844" max="3844" width="27.42578125" style="1" customWidth="1"/>
    <col min="3845" max="3845" width="12.85546875" style="1" customWidth="1"/>
    <col min="3846" max="3846" width="0" style="1" hidden="1" customWidth="1"/>
    <col min="3847" max="3847" width="40.42578125" style="1" customWidth="1"/>
    <col min="3848" max="3848" width="9.140625" style="1" customWidth="1"/>
    <col min="3849" max="3850" width="11" style="1" customWidth="1"/>
    <col min="3851" max="3851" width="12.28515625" style="1" customWidth="1"/>
    <col min="3852" max="3854" width="12.85546875" style="1" customWidth="1"/>
    <col min="3855" max="3855" width="10.7109375" style="1" customWidth="1"/>
    <col min="3856" max="3856" width="12.7109375" style="1" customWidth="1"/>
    <col min="3857" max="3857" width="10.85546875" style="1" customWidth="1"/>
    <col min="3858" max="3858" width="11.28515625" style="1" customWidth="1"/>
    <col min="3859" max="3859" width="9.7109375" style="1" customWidth="1"/>
    <col min="3860" max="3860" width="11.140625" style="1" customWidth="1"/>
    <col min="3861" max="3861" width="12.42578125" style="1" customWidth="1"/>
    <col min="3862" max="3867" width="9.7109375" style="1" customWidth="1"/>
    <col min="3868" max="3868" width="6.140625" style="1" customWidth="1"/>
    <col min="3869" max="4098" width="8.85546875" style="1"/>
    <col min="4099" max="4099" width="6.85546875" style="1" customWidth="1"/>
    <col min="4100" max="4100" width="27.42578125" style="1" customWidth="1"/>
    <col min="4101" max="4101" width="12.85546875" style="1" customWidth="1"/>
    <col min="4102" max="4102" width="0" style="1" hidden="1" customWidth="1"/>
    <col min="4103" max="4103" width="40.42578125" style="1" customWidth="1"/>
    <col min="4104" max="4104" width="9.140625" style="1" customWidth="1"/>
    <col min="4105" max="4106" width="11" style="1" customWidth="1"/>
    <col min="4107" max="4107" width="12.28515625" style="1" customWidth="1"/>
    <col min="4108" max="4110" width="12.85546875" style="1" customWidth="1"/>
    <col min="4111" max="4111" width="10.7109375" style="1" customWidth="1"/>
    <col min="4112" max="4112" width="12.7109375" style="1" customWidth="1"/>
    <col min="4113" max="4113" width="10.85546875" style="1" customWidth="1"/>
    <col min="4114" max="4114" width="11.28515625" style="1" customWidth="1"/>
    <col min="4115" max="4115" width="9.7109375" style="1" customWidth="1"/>
    <col min="4116" max="4116" width="11.140625" style="1" customWidth="1"/>
    <col min="4117" max="4117" width="12.42578125" style="1" customWidth="1"/>
    <col min="4118" max="4123" width="9.7109375" style="1" customWidth="1"/>
    <col min="4124" max="4124" width="6.140625" style="1" customWidth="1"/>
    <col min="4125" max="4354" width="8.85546875" style="1"/>
    <col min="4355" max="4355" width="6.85546875" style="1" customWidth="1"/>
    <col min="4356" max="4356" width="27.42578125" style="1" customWidth="1"/>
    <col min="4357" max="4357" width="12.85546875" style="1" customWidth="1"/>
    <col min="4358" max="4358" width="0" style="1" hidden="1" customWidth="1"/>
    <col min="4359" max="4359" width="40.42578125" style="1" customWidth="1"/>
    <col min="4360" max="4360" width="9.140625" style="1" customWidth="1"/>
    <col min="4361" max="4362" width="11" style="1" customWidth="1"/>
    <col min="4363" max="4363" width="12.28515625" style="1" customWidth="1"/>
    <col min="4364" max="4366" width="12.85546875" style="1" customWidth="1"/>
    <col min="4367" max="4367" width="10.7109375" style="1" customWidth="1"/>
    <col min="4368" max="4368" width="12.7109375" style="1" customWidth="1"/>
    <col min="4369" max="4369" width="10.85546875" style="1" customWidth="1"/>
    <col min="4370" max="4370" width="11.28515625" style="1" customWidth="1"/>
    <col min="4371" max="4371" width="9.7109375" style="1" customWidth="1"/>
    <col min="4372" max="4372" width="11.140625" style="1" customWidth="1"/>
    <col min="4373" max="4373" width="12.42578125" style="1" customWidth="1"/>
    <col min="4374" max="4379" width="9.7109375" style="1" customWidth="1"/>
    <col min="4380" max="4380" width="6.140625" style="1" customWidth="1"/>
    <col min="4381" max="4610" width="8.85546875" style="1"/>
    <col min="4611" max="4611" width="6.85546875" style="1" customWidth="1"/>
    <col min="4612" max="4612" width="27.42578125" style="1" customWidth="1"/>
    <col min="4613" max="4613" width="12.85546875" style="1" customWidth="1"/>
    <col min="4614" max="4614" width="0" style="1" hidden="1" customWidth="1"/>
    <col min="4615" max="4615" width="40.42578125" style="1" customWidth="1"/>
    <col min="4616" max="4616" width="9.140625" style="1" customWidth="1"/>
    <col min="4617" max="4618" width="11" style="1" customWidth="1"/>
    <col min="4619" max="4619" width="12.28515625" style="1" customWidth="1"/>
    <col min="4620" max="4622" width="12.85546875" style="1" customWidth="1"/>
    <col min="4623" max="4623" width="10.7109375" style="1" customWidth="1"/>
    <col min="4624" max="4624" width="12.7109375" style="1" customWidth="1"/>
    <col min="4625" max="4625" width="10.85546875" style="1" customWidth="1"/>
    <col min="4626" max="4626" width="11.28515625" style="1" customWidth="1"/>
    <col min="4627" max="4627" width="9.7109375" style="1" customWidth="1"/>
    <col min="4628" max="4628" width="11.140625" style="1" customWidth="1"/>
    <col min="4629" max="4629" width="12.42578125" style="1" customWidth="1"/>
    <col min="4630" max="4635" width="9.7109375" style="1" customWidth="1"/>
    <col min="4636" max="4636" width="6.140625" style="1" customWidth="1"/>
    <col min="4637" max="4866" width="8.85546875" style="1"/>
    <col min="4867" max="4867" width="6.85546875" style="1" customWidth="1"/>
    <col min="4868" max="4868" width="27.42578125" style="1" customWidth="1"/>
    <col min="4869" max="4869" width="12.85546875" style="1" customWidth="1"/>
    <col min="4870" max="4870" width="0" style="1" hidden="1" customWidth="1"/>
    <col min="4871" max="4871" width="40.42578125" style="1" customWidth="1"/>
    <col min="4872" max="4872" width="9.140625" style="1" customWidth="1"/>
    <col min="4873" max="4874" width="11" style="1" customWidth="1"/>
    <col min="4875" max="4875" width="12.28515625" style="1" customWidth="1"/>
    <col min="4876" max="4878" width="12.85546875" style="1" customWidth="1"/>
    <col min="4879" max="4879" width="10.7109375" style="1" customWidth="1"/>
    <col min="4880" max="4880" width="12.7109375" style="1" customWidth="1"/>
    <col min="4881" max="4881" width="10.85546875" style="1" customWidth="1"/>
    <col min="4882" max="4882" width="11.28515625" style="1" customWidth="1"/>
    <col min="4883" max="4883" width="9.7109375" style="1" customWidth="1"/>
    <col min="4884" max="4884" width="11.140625" style="1" customWidth="1"/>
    <col min="4885" max="4885" width="12.42578125" style="1" customWidth="1"/>
    <col min="4886" max="4891" width="9.7109375" style="1" customWidth="1"/>
    <col min="4892" max="4892" width="6.140625" style="1" customWidth="1"/>
    <col min="4893" max="5122" width="8.85546875" style="1"/>
    <col min="5123" max="5123" width="6.85546875" style="1" customWidth="1"/>
    <col min="5124" max="5124" width="27.42578125" style="1" customWidth="1"/>
    <col min="5125" max="5125" width="12.85546875" style="1" customWidth="1"/>
    <col min="5126" max="5126" width="0" style="1" hidden="1" customWidth="1"/>
    <col min="5127" max="5127" width="40.42578125" style="1" customWidth="1"/>
    <col min="5128" max="5128" width="9.140625" style="1" customWidth="1"/>
    <col min="5129" max="5130" width="11" style="1" customWidth="1"/>
    <col min="5131" max="5131" width="12.28515625" style="1" customWidth="1"/>
    <col min="5132" max="5134" width="12.85546875" style="1" customWidth="1"/>
    <col min="5135" max="5135" width="10.7109375" style="1" customWidth="1"/>
    <col min="5136" max="5136" width="12.7109375" style="1" customWidth="1"/>
    <col min="5137" max="5137" width="10.85546875" style="1" customWidth="1"/>
    <col min="5138" max="5138" width="11.28515625" style="1" customWidth="1"/>
    <col min="5139" max="5139" width="9.7109375" style="1" customWidth="1"/>
    <col min="5140" max="5140" width="11.140625" style="1" customWidth="1"/>
    <col min="5141" max="5141" width="12.42578125" style="1" customWidth="1"/>
    <col min="5142" max="5147" width="9.7109375" style="1" customWidth="1"/>
    <col min="5148" max="5148" width="6.140625" style="1" customWidth="1"/>
    <col min="5149" max="5378" width="8.85546875" style="1"/>
    <col min="5379" max="5379" width="6.85546875" style="1" customWidth="1"/>
    <col min="5380" max="5380" width="27.42578125" style="1" customWidth="1"/>
    <col min="5381" max="5381" width="12.85546875" style="1" customWidth="1"/>
    <col min="5382" max="5382" width="0" style="1" hidden="1" customWidth="1"/>
    <col min="5383" max="5383" width="40.42578125" style="1" customWidth="1"/>
    <col min="5384" max="5384" width="9.140625" style="1" customWidth="1"/>
    <col min="5385" max="5386" width="11" style="1" customWidth="1"/>
    <col min="5387" max="5387" width="12.28515625" style="1" customWidth="1"/>
    <col min="5388" max="5390" width="12.85546875" style="1" customWidth="1"/>
    <col min="5391" max="5391" width="10.7109375" style="1" customWidth="1"/>
    <col min="5392" max="5392" width="12.7109375" style="1" customWidth="1"/>
    <col min="5393" max="5393" width="10.85546875" style="1" customWidth="1"/>
    <col min="5394" max="5394" width="11.28515625" style="1" customWidth="1"/>
    <col min="5395" max="5395" width="9.7109375" style="1" customWidth="1"/>
    <col min="5396" max="5396" width="11.140625" style="1" customWidth="1"/>
    <col min="5397" max="5397" width="12.42578125" style="1" customWidth="1"/>
    <col min="5398" max="5403" width="9.7109375" style="1" customWidth="1"/>
    <col min="5404" max="5404" width="6.140625" style="1" customWidth="1"/>
    <col min="5405" max="5634" width="8.85546875" style="1"/>
    <col min="5635" max="5635" width="6.85546875" style="1" customWidth="1"/>
    <col min="5636" max="5636" width="27.42578125" style="1" customWidth="1"/>
    <col min="5637" max="5637" width="12.85546875" style="1" customWidth="1"/>
    <col min="5638" max="5638" width="0" style="1" hidden="1" customWidth="1"/>
    <col min="5639" max="5639" width="40.42578125" style="1" customWidth="1"/>
    <col min="5640" max="5640" width="9.140625" style="1" customWidth="1"/>
    <col min="5641" max="5642" width="11" style="1" customWidth="1"/>
    <col min="5643" max="5643" width="12.28515625" style="1" customWidth="1"/>
    <col min="5644" max="5646" width="12.85546875" style="1" customWidth="1"/>
    <col min="5647" max="5647" width="10.7109375" style="1" customWidth="1"/>
    <col min="5648" max="5648" width="12.7109375" style="1" customWidth="1"/>
    <col min="5649" max="5649" width="10.85546875" style="1" customWidth="1"/>
    <col min="5650" max="5650" width="11.28515625" style="1" customWidth="1"/>
    <col min="5651" max="5651" width="9.7109375" style="1" customWidth="1"/>
    <col min="5652" max="5652" width="11.140625" style="1" customWidth="1"/>
    <col min="5653" max="5653" width="12.42578125" style="1" customWidth="1"/>
    <col min="5654" max="5659" width="9.7109375" style="1" customWidth="1"/>
    <col min="5660" max="5660" width="6.140625" style="1" customWidth="1"/>
    <col min="5661" max="5890" width="8.85546875" style="1"/>
    <col min="5891" max="5891" width="6.85546875" style="1" customWidth="1"/>
    <col min="5892" max="5892" width="27.42578125" style="1" customWidth="1"/>
    <col min="5893" max="5893" width="12.85546875" style="1" customWidth="1"/>
    <col min="5894" max="5894" width="0" style="1" hidden="1" customWidth="1"/>
    <col min="5895" max="5895" width="40.42578125" style="1" customWidth="1"/>
    <col min="5896" max="5896" width="9.140625" style="1" customWidth="1"/>
    <col min="5897" max="5898" width="11" style="1" customWidth="1"/>
    <col min="5899" max="5899" width="12.28515625" style="1" customWidth="1"/>
    <col min="5900" max="5902" width="12.85546875" style="1" customWidth="1"/>
    <col min="5903" max="5903" width="10.7109375" style="1" customWidth="1"/>
    <col min="5904" max="5904" width="12.7109375" style="1" customWidth="1"/>
    <col min="5905" max="5905" width="10.85546875" style="1" customWidth="1"/>
    <col min="5906" max="5906" width="11.28515625" style="1" customWidth="1"/>
    <col min="5907" max="5907" width="9.7109375" style="1" customWidth="1"/>
    <col min="5908" max="5908" width="11.140625" style="1" customWidth="1"/>
    <col min="5909" max="5909" width="12.42578125" style="1" customWidth="1"/>
    <col min="5910" max="5915" width="9.7109375" style="1" customWidth="1"/>
    <col min="5916" max="5916" width="6.140625" style="1" customWidth="1"/>
    <col min="5917" max="6146" width="8.85546875" style="1"/>
    <col min="6147" max="6147" width="6.85546875" style="1" customWidth="1"/>
    <col min="6148" max="6148" width="27.42578125" style="1" customWidth="1"/>
    <col min="6149" max="6149" width="12.85546875" style="1" customWidth="1"/>
    <col min="6150" max="6150" width="0" style="1" hidden="1" customWidth="1"/>
    <col min="6151" max="6151" width="40.42578125" style="1" customWidth="1"/>
    <col min="6152" max="6152" width="9.140625" style="1" customWidth="1"/>
    <col min="6153" max="6154" width="11" style="1" customWidth="1"/>
    <col min="6155" max="6155" width="12.28515625" style="1" customWidth="1"/>
    <col min="6156" max="6158" width="12.85546875" style="1" customWidth="1"/>
    <col min="6159" max="6159" width="10.7109375" style="1" customWidth="1"/>
    <col min="6160" max="6160" width="12.7109375" style="1" customWidth="1"/>
    <col min="6161" max="6161" width="10.85546875" style="1" customWidth="1"/>
    <col min="6162" max="6162" width="11.28515625" style="1" customWidth="1"/>
    <col min="6163" max="6163" width="9.7109375" style="1" customWidth="1"/>
    <col min="6164" max="6164" width="11.140625" style="1" customWidth="1"/>
    <col min="6165" max="6165" width="12.42578125" style="1" customWidth="1"/>
    <col min="6166" max="6171" width="9.7109375" style="1" customWidth="1"/>
    <col min="6172" max="6172" width="6.140625" style="1" customWidth="1"/>
    <col min="6173" max="6402" width="8.85546875" style="1"/>
    <col min="6403" max="6403" width="6.85546875" style="1" customWidth="1"/>
    <col min="6404" max="6404" width="27.42578125" style="1" customWidth="1"/>
    <col min="6405" max="6405" width="12.85546875" style="1" customWidth="1"/>
    <col min="6406" max="6406" width="0" style="1" hidden="1" customWidth="1"/>
    <col min="6407" max="6407" width="40.42578125" style="1" customWidth="1"/>
    <col min="6408" max="6408" width="9.140625" style="1" customWidth="1"/>
    <col min="6409" max="6410" width="11" style="1" customWidth="1"/>
    <col min="6411" max="6411" width="12.28515625" style="1" customWidth="1"/>
    <col min="6412" max="6414" width="12.85546875" style="1" customWidth="1"/>
    <col min="6415" max="6415" width="10.7109375" style="1" customWidth="1"/>
    <col min="6416" max="6416" width="12.7109375" style="1" customWidth="1"/>
    <col min="6417" max="6417" width="10.85546875" style="1" customWidth="1"/>
    <col min="6418" max="6418" width="11.28515625" style="1" customWidth="1"/>
    <col min="6419" max="6419" width="9.7109375" style="1" customWidth="1"/>
    <col min="6420" max="6420" width="11.140625" style="1" customWidth="1"/>
    <col min="6421" max="6421" width="12.42578125" style="1" customWidth="1"/>
    <col min="6422" max="6427" width="9.7109375" style="1" customWidth="1"/>
    <col min="6428" max="6428" width="6.140625" style="1" customWidth="1"/>
    <col min="6429" max="6658" width="8.85546875" style="1"/>
    <col min="6659" max="6659" width="6.85546875" style="1" customWidth="1"/>
    <col min="6660" max="6660" width="27.42578125" style="1" customWidth="1"/>
    <col min="6661" max="6661" width="12.85546875" style="1" customWidth="1"/>
    <col min="6662" max="6662" width="0" style="1" hidden="1" customWidth="1"/>
    <col min="6663" max="6663" width="40.42578125" style="1" customWidth="1"/>
    <col min="6664" max="6664" width="9.140625" style="1" customWidth="1"/>
    <col min="6665" max="6666" width="11" style="1" customWidth="1"/>
    <col min="6667" max="6667" width="12.28515625" style="1" customWidth="1"/>
    <col min="6668" max="6670" width="12.85546875" style="1" customWidth="1"/>
    <col min="6671" max="6671" width="10.7109375" style="1" customWidth="1"/>
    <col min="6672" max="6672" width="12.7109375" style="1" customWidth="1"/>
    <col min="6673" max="6673" width="10.85546875" style="1" customWidth="1"/>
    <col min="6674" max="6674" width="11.28515625" style="1" customWidth="1"/>
    <col min="6675" max="6675" width="9.7109375" style="1" customWidth="1"/>
    <col min="6676" max="6676" width="11.140625" style="1" customWidth="1"/>
    <col min="6677" max="6677" width="12.42578125" style="1" customWidth="1"/>
    <col min="6678" max="6683" width="9.7109375" style="1" customWidth="1"/>
    <col min="6684" max="6684" width="6.140625" style="1" customWidth="1"/>
    <col min="6685" max="6914" width="8.85546875" style="1"/>
    <col min="6915" max="6915" width="6.85546875" style="1" customWidth="1"/>
    <col min="6916" max="6916" width="27.42578125" style="1" customWidth="1"/>
    <col min="6917" max="6917" width="12.85546875" style="1" customWidth="1"/>
    <col min="6918" max="6918" width="0" style="1" hidden="1" customWidth="1"/>
    <col min="6919" max="6919" width="40.42578125" style="1" customWidth="1"/>
    <col min="6920" max="6920" width="9.140625" style="1" customWidth="1"/>
    <col min="6921" max="6922" width="11" style="1" customWidth="1"/>
    <col min="6923" max="6923" width="12.28515625" style="1" customWidth="1"/>
    <col min="6924" max="6926" width="12.85546875" style="1" customWidth="1"/>
    <col min="6927" max="6927" width="10.7109375" style="1" customWidth="1"/>
    <col min="6928" max="6928" width="12.7109375" style="1" customWidth="1"/>
    <col min="6929" max="6929" width="10.85546875" style="1" customWidth="1"/>
    <col min="6930" max="6930" width="11.28515625" style="1" customWidth="1"/>
    <col min="6931" max="6931" width="9.7109375" style="1" customWidth="1"/>
    <col min="6932" max="6932" width="11.140625" style="1" customWidth="1"/>
    <col min="6933" max="6933" width="12.42578125" style="1" customWidth="1"/>
    <col min="6934" max="6939" width="9.7109375" style="1" customWidth="1"/>
    <col min="6940" max="6940" width="6.140625" style="1" customWidth="1"/>
    <col min="6941" max="7170" width="8.85546875" style="1"/>
    <col min="7171" max="7171" width="6.85546875" style="1" customWidth="1"/>
    <col min="7172" max="7172" width="27.42578125" style="1" customWidth="1"/>
    <col min="7173" max="7173" width="12.85546875" style="1" customWidth="1"/>
    <col min="7174" max="7174" width="0" style="1" hidden="1" customWidth="1"/>
    <col min="7175" max="7175" width="40.42578125" style="1" customWidth="1"/>
    <col min="7176" max="7176" width="9.140625" style="1" customWidth="1"/>
    <col min="7177" max="7178" width="11" style="1" customWidth="1"/>
    <col min="7179" max="7179" width="12.28515625" style="1" customWidth="1"/>
    <col min="7180" max="7182" width="12.85546875" style="1" customWidth="1"/>
    <col min="7183" max="7183" width="10.7109375" style="1" customWidth="1"/>
    <col min="7184" max="7184" width="12.7109375" style="1" customWidth="1"/>
    <col min="7185" max="7185" width="10.85546875" style="1" customWidth="1"/>
    <col min="7186" max="7186" width="11.28515625" style="1" customWidth="1"/>
    <col min="7187" max="7187" width="9.7109375" style="1" customWidth="1"/>
    <col min="7188" max="7188" width="11.140625" style="1" customWidth="1"/>
    <col min="7189" max="7189" width="12.42578125" style="1" customWidth="1"/>
    <col min="7190" max="7195" width="9.7109375" style="1" customWidth="1"/>
    <col min="7196" max="7196" width="6.140625" style="1" customWidth="1"/>
    <col min="7197" max="7426" width="8.85546875" style="1"/>
    <col min="7427" max="7427" width="6.85546875" style="1" customWidth="1"/>
    <col min="7428" max="7428" width="27.42578125" style="1" customWidth="1"/>
    <col min="7429" max="7429" width="12.85546875" style="1" customWidth="1"/>
    <col min="7430" max="7430" width="0" style="1" hidden="1" customWidth="1"/>
    <col min="7431" max="7431" width="40.42578125" style="1" customWidth="1"/>
    <col min="7432" max="7432" width="9.140625" style="1" customWidth="1"/>
    <col min="7433" max="7434" width="11" style="1" customWidth="1"/>
    <col min="7435" max="7435" width="12.28515625" style="1" customWidth="1"/>
    <col min="7436" max="7438" width="12.85546875" style="1" customWidth="1"/>
    <col min="7439" max="7439" width="10.7109375" style="1" customWidth="1"/>
    <col min="7440" max="7440" width="12.7109375" style="1" customWidth="1"/>
    <col min="7441" max="7441" width="10.85546875" style="1" customWidth="1"/>
    <col min="7442" max="7442" width="11.28515625" style="1" customWidth="1"/>
    <col min="7443" max="7443" width="9.7109375" style="1" customWidth="1"/>
    <col min="7444" max="7444" width="11.140625" style="1" customWidth="1"/>
    <col min="7445" max="7445" width="12.42578125" style="1" customWidth="1"/>
    <col min="7446" max="7451" width="9.7109375" style="1" customWidth="1"/>
    <col min="7452" max="7452" width="6.140625" style="1" customWidth="1"/>
    <col min="7453" max="7682" width="8.85546875" style="1"/>
    <col min="7683" max="7683" width="6.85546875" style="1" customWidth="1"/>
    <col min="7684" max="7684" width="27.42578125" style="1" customWidth="1"/>
    <col min="7685" max="7685" width="12.85546875" style="1" customWidth="1"/>
    <col min="7686" max="7686" width="0" style="1" hidden="1" customWidth="1"/>
    <col min="7687" max="7687" width="40.42578125" style="1" customWidth="1"/>
    <col min="7688" max="7688" width="9.140625" style="1" customWidth="1"/>
    <col min="7689" max="7690" width="11" style="1" customWidth="1"/>
    <col min="7691" max="7691" width="12.28515625" style="1" customWidth="1"/>
    <col min="7692" max="7694" width="12.85546875" style="1" customWidth="1"/>
    <col min="7695" max="7695" width="10.7109375" style="1" customWidth="1"/>
    <col min="7696" max="7696" width="12.7109375" style="1" customWidth="1"/>
    <col min="7697" max="7697" width="10.85546875" style="1" customWidth="1"/>
    <col min="7698" max="7698" width="11.28515625" style="1" customWidth="1"/>
    <col min="7699" max="7699" width="9.7109375" style="1" customWidth="1"/>
    <col min="7700" max="7700" width="11.140625" style="1" customWidth="1"/>
    <col min="7701" max="7701" width="12.42578125" style="1" customWidth="1"/>
    <col min="7702" max="7707" width="9.7109375" style="1" customWidth="1"/>
    <col min="7708" max="7708" width="6.140625" style="1" customWidth="1"/>
    <col min="7709" max="7938" width="8.85546875" style="1"/>
    <col min="7939" max="7939" width="6.85546875" style="1" customWidth="1"/>
    <col min="7940" max="7940" width="27.42578125" style="1" customWidth="1"/>
    <col min="7941" max="7941" width="12.85546875" style="1" customWidth="1"/>
    <col min="7942" max="7942" width="0" style="1" hidden="1" customWidth="1"/>
    <col min="7943" max="7943" width="40.42578125" style="1" customWidth="1"/>
    <col min="7944" max="7944" width="9.140625" style="1" customWidth="1"/>
    <col min="7945" max="7946" width="11" style="1" customWidth="1"/>
    <col min="7947" max="7947" width="12.28515625" style="1" customWidth="1"/>
    <col min="7948" max="7950" width="12.85546875" style="1" customWidth="1"/>
    <col min="7951" max="7951" width="10.7109375" style="1" customWidth="1"/>
    <col min="7952" max="7952" width="12.7109375" style="1" customWidth="1"/>
    <col min="7953" max="7953" width="10.85546875" style="1" customWidth="1"/>
    <col min="7954" max="7954" width="11.28515625" style="1" customWidth="1"/>
    <col min="7955" max="7955" width="9.7109375" style="1" customWidth="1"/>
    <col min="7956" max="7956" width="11.140625" style="1" customWidth="1"/>
    <col min="7957" max="7957" width="12.42578125" style="1" customWidth="1"/>
    <col min="7958" max="7963" width="9.7109375" style="1" customWidth="1"/>
    <col min="7964" max="7964" width="6.140625" style="1" customWidth="1"/>
    <col min="7965" max="8194" width="8.85546875" style="1"/>
    <col min="8195" max="8195" width="6.85546875" style="1" customWidth="1"/>
    <col min="8196" max="8196" width="27.42578125" style="1" customWidth="1"/>
    <col min="8197" max="8197" width="12.85546875" style="1" customWidth="1"/>
    <col min="8198" max="8198" width="0" style="1" hidden="1" customWidth="1"/>
    <col min="8199" max="8199" width="40.42578125" style="1" customWidth="1"/>
    <col min="8200" max="8200" width="9.140625" style="1" customWidth="1"/>
    <col min="8201" max="8202" width="11" style="1" customWidth="1"/>
    <col min="8203" max="8203" width="12.28515625" style="1" customWidth="1"/>
    <col min="8204" max="8206" width="12.85546875" style="1" customWidth="1"/>
    <col min="8207" max="8207" width="10.7109375" style="1" customWidth="1"/>
    <col min="8208" max="8208" width="12.7109375" style="1" customWidth="1"/>
    <col min="8209" max="8209" width="10.85546875" style="1" customWidth="1"/>
    <col min="8210" max="8210" width="11.28515625" style="1" customWidth="1"/>
    <col min="8211" max="8211" width="9.7109375" style="1" customWidth="1"/>
    <col min="8212" max="8212" width="11.140625" style="1" customWidth="1"/>
    <col min="8213" max="8213" width="12.42578125" style="1" customWidth="1"/>
    <col min="8214" max="8219" width="9.7109375" style="1" customWidth="1"/>
    <col min="8220" max="8220" width="6.140625" style="1" customWidth="1"/>
    <col min="8221" max="8450" width="8.85546875" style="1"/>
    <col min="8451" max="8451" width="6.85546875" style="1" customWidth="1"/>
    <col min="8452" max="8452" width="27.42578125" style="1" customWidth="1"/>
    <col min="8453" max="8453" width="12.85546875" style="1" customWidth="1"/>
    <col min="8454" max="8454" width="0" style="1" hidden="1" customWidth="1"/>
    <col min="8455" max="8455" width="40.42578125" style="1" customWidth="1"/>
    <col min="8456" max="8456" width="9.140625" style="1" customWidth="1"/>
    <col min="8457" max="8458" width="11" style="1" customWidth="1"/>
    <col min="8459" max="8459" width="12.28515625" style="1" customWidth="1"/>
    <col min="8460" max="8462" width="12.85546875" style="1" customWidth="1"/>
    <col min="8463" max="8463" width="10.7109375" style="1" customWidth="1"/>
    <col min="8464" max="8464" width="12.7109375" style="1" customWidth="1"/>
    <col min="8465" max="8465" width="10.85546875" style="1" customWidth="1"/>
    <col min="8466" max="8466" width="11.28515625" style="1" customWidth="1"/>
    <col min="8467" max="8467" width="9.7109375" style="1" customWidth="1"/>
    <col min="8468" max="8468" width="11.140625" style="1" customWidth="1"/>
    <col min="8469" max="8469" width="12.42578125" style="1" customWidth="1"/>
    <col min="8470" max="8475" width="9.7109375" style="1" customWidth="1"/>
    <col min="8476" max="8476" width="6.140625" style="1" customWidth="1"/>
    <col min="8477" max="8706" width="8.85546875" style="1"/>
    <col min="8707" max="8707" width="6.85546875" style="1" customWidth="1"/>
    <col min="8708" max="8708" width="27.42578125" style="1" customWidth="1"/>
    <col min="8709" max="8709" width="12.85546875" style="1" customWidth="1"/>
    <col min="8710" max="8710" width="0" style="1" hidden="1" customWidth="1"/>
    <col min="8711" max="8711" width="40.42578125" style="1" customWidth="1"/>
    <col min="8712" max="8712" width="9.140625" style="1" customWidth="1"/>
    <col min="8713" max="8714" width="11" style="1" customWidth="1"/>
    <col min="8715" max="8715" width="12.28515625" style="1" customWidth="1"/>
    <col min="8716" max="8718" width="12.85546875" style="1" customWidth="1"/>
    <col min="8719" max="8719" width="10.7109375" style="1" customWidth="1"/>
    <col min="8720" max="8720" width="12.7109375" style="1" customWidth="1"/>
    <col min="8721" max="8721" width="10.85546875" style="1" customWidth="1"/>
    <col min="8722" max="8722" width="11.28515625" style="1" customWidth="1"/>
    <col min="8723" max="8723" width="9.7109375" style="1" customWidth="1"/>
    <col min="8724" max="8724" width="11.140625" style="1" customWidth="1"/>
    <col min="8725" max="8725" width="12.42578125" style="1" customWidth="1"/>
    <col min="8726" max="8731" width="9.7109375" style="1" customWidth="1"/>
    <col min="8732" max="8732" width="6.140625" style="1" customWidth="1"/>
    <col min="8733" max="8962" width="8.85546875" style="1"/>
    <col min="8963" max="8963" width="6.85546875" style="1" customWidth="1"/>
    <col min="8964" max="8964" width="27.42578125" style="1" customWidth="1"/>
    <col min="8965" max="8965" width="12.85546875" style="1" customWidth="1"/>
    <col min="8966" max="8966" width="0" style="1" hidden="1" customWidth="1"/>
    <col min="8967" max="8967" width="40.42578125" style="1" customWidth="1"/>
    <col min="8968" max="8968" width="9.140625" style="1" customWidth="1"/>
    <col min="8969" max="8970" width="11" style="1" customWidth="1"/>
    <col min="8971" max="8971" width="12.28515625" style="1" customWidth="1"/>
    <col min="8972" max="8974" width="12.85546875" style="1" customWidth="1"/>
    <col min="8975" max="8975" width="10.7109375" style="1" customWidth="1"/>
    <col min="8976" max="8976" width="12.7109375" style="1" customWidth="1"/>
    <col min="8977" max="8977" width="10.85546875" style="1" customWidth="1"/>
    <col min="8978" max="8978" width="11.28515625" style="1" customWidth="1"/>
    <col min="8979" max="8979" width="9.7109375" style="1" customWidth="1"/>
    <col min="8980" max="8980" width="11.140625" style="1" customWidth="1"/>
    <col min="8981" max="8981" width="12.42578125" style="1" customWidth="1"/>
    <col min="8982" max="8987" width="9.7109375" style="1" customWidth="1"/>
    <col min="8988" max="8988" width="6.140625" style="1" customWidth="1"/>
    <col min="8989" max="9218" width="8.85546875" style="1"/>
    <col min="9219" max="9219" width="6.85546875" style="1" customWidth="1"/>
    <col min="9220" max="9220" width="27.42578125" style="1" customWidth="1"/>
    <col min="9221" max="9221" width="12.85546875" style="1" customWidth="1"/>
    <col min="9222" max="9222" width="0" style="1" hidden="1" customWidth="1"/>
    <col min="9223" max="9223" width="40.42578125" style="1" customWidth="1"/>
    <col min="9224" max="9224" width="9.140625" style="1" customWidth="1"/>
    <col min="9225" max="9226" width="11" style="1" customWidth="1"/>
    <col min="9227" max="9227" width="12.28515625" style="1" customWidth="1"/>
    <col min="9228" max="9230" width="12.85546875" style="1" customWidth="1"/>
    <col min="9231" max="9231" width="10.7109375" style="1" customWidth="1"/>
    <col min="9232" max="9232" width="12.7109375" style="1" customWidth="1"/>
    <col min="9233" max="9233" width="10.85546875" style="1" customWidth="1"/>
    <col min="9234" max="9234" width="11.28515625" style="1" customWidth="1"/>
    <col min="9235" max="9235" width="9.7109375" style="1" customWidth="1"/>
    <col min="9236" max="9236" width="11.140625" style="1" customWidth="1"/>
    <col min="9237" max="9237" width="12.42578125" style="1" customWidth="1"/>
    <col min="9238" max="9243" width="9.7109375" style="1" customWidth="1"/>
    <col min="9244" max="9244" width="6.140625" style="1" customWidth="1"/>
    <col min="9245" max="9474" width="8.85546875" style="1"/>
    <col min="9475" max="9475" width="6.85546875" style="1" customWidth="1"/>
    <col min="9476" max="9476" width="27.42578125" style="1" customWidth="1"/>
    <col min="9477" max="9477" width="12.85546875" style="1" customWidth="1"/>
    <col min="9478" max="9478" width="0" style="1" hidden="1" customWidth="1"/>
    <col min="9479" max="9479" width="40.42578125" style="1" customWidth="1"/>
    <col min="9480" max="9480" width="9.140625" style="1" customWidth="1"/>
    <col min="9481" max="9482" width="11" style="1" customWidth="1"/>
    <col min="9483" max="9483" width="12.28515625" style="1" customWidth="1"/>
    <col min="9484" max="9486" width="12.85546875" style="1" customWidth="1"/>
    <col min="9487" max="9487" width="10.7109375" style="1" customWidth="1"/>
    <col min="9488" max="9488" width="12.7109375" style="1" customWidth="1"/>
    <col min="9489" max="9489" width="10.85546875" style="1" customWidth="1"/>
    <col min="9490" max="9490" width="11.28515625" style="1" customWidth="1"/>
    <col min="9491" max="9491" width="9.7109375" style="1" customWidth="1"/>
    <col min="9492" max="9492" width="11.140625" style="1" customWidth="1"/>
    <col min="9493" max="9493" width="12.42578125" style="1" customWidth="1"/>
    <col min="9494" max="9499" width="9.7109375" style="1" customWidth="1"/>
    <col min="9500" max="9500" width="6.140625" style="1" customWidth="1"/>
    <col min="9501" max="9730" width="8.85546875" style="1"/>
    <col min="9731" max="9731" width="6.85546875" style="1" customWidth="1"/>
    <col min="9732" max="9732" width="27.42578125" style="1" customWidth="1"/>
    <col min="9733" max="9733" width="12.85546875" style="1" customWidth="1"/>
    <col min="9734" max="9734" width="0" style="1" hidden="1" customWidth="1"/>
    <col min="9735" max="9735" width="40.42578125" style="1" customWidth="1"/>
    <col min="9736" max="9736" width="9.140625" style="1" customWidth="1"/>
    <col min="9737" max="9738" width="11" style="1" customWidth="1"/>
    <col min="9739" max="9739" width="12.28515625" style="1" customWidth="1"/>
    <col min="9740" max="9742" width="12.85546875" style="1" customWidth="1"/>
    <col min="9743" max="9743" width="10.7109375" style="1" customWidth="1"/>
    <col min="9744" max="9744" width="12.7109375" style="1" customWidth="1"/>
    <col min="9745" max="9745" width="10.85546875" style="1" customWidth="1"/>
    <col min="9746" max="9746" width="11.28515625" style="1" customWidth="1"/>
    <col min="9747" max="9747" width="9.7109375" style="1" customWidth="1"/>
    <col min="9748" max="9748" width="11.140625" style="1" customWidth="1"/>
    <col min="9749" max="9749" width="12.42578125" style="1" customWidth="1"/>
    <col min="9750" max="9755" width="9.7109375" style="1" customWidth="1"/>
    <col min="9756" max="9756" width="6.140625" style="1" customWidth="1"/>
    <col min="9757" max="9986" width="8.85546875" style="1"/>
    <col min="9987" max="9987" width="6.85546875" style="1" customWidth="1"/>
    <col min="9988" max="9988" width="27.42578125" style="1" customWidth="1"/>
    <col min="9989" max="9989" width="12.85546875" style="1" customWidth="1"/>
    <col min="9990" max="9990" width="0" style="1" hidden="1" customWidth="1"/>
    <col min="9991" max="9991" width="40.42578125" style="1" customWidth="1"/>
    <col min="9992" max="9992" width="9.140625" style="1" customWidth="1"/>
    <col min="9993" max="9994" width="11" style="1" customWidth="1"/>
    <col min="9995" max="9995" width="12.28515625" style="1" customWidth="1"/>
    <col min="9996" max="9998" width="12.85546875" style="1" customWidth="1"/>
    <col min="9999" max="9999" width="10.7109375" style="1" customWidth="1"/>
    <col min="10000" max="10000" width="12.7109375" style="1" customWidth="1"/>
    <col min="10001" max="10001" width="10.85546875" style="1" customWidth="1"/>
    <col min="10002" max="10002" width="11.28515625" style="1" customWidth="1"/>
    <col min="10003" max="10003" width="9.7109375" style="1" customWidth="1"/>
    <col min="10004" max="10004" width="11.140625" style="1" customWidth="1"/>
    <col min="10005" max="10005" width="12.42578125" style="1" customWidth="1"/>
    <col min="10006" max="10011" width="9.7109375" style="1" customWidth="1"/>
    <col min="10012" max="10012" width="6.140625" style="1" customWidth="1"/>
    <col min="10013" max="10242" width="8.85546875" style="1"/>
    <col min="10243" max="10243" width="6.85546875" style="1" customWidth="1"/>
    <col min="10244" max="10244" width="27.42578125" style="1" customWidth="1"/>
    <col min="10245" max="10245" width="12.85546875" style="1" customWidth="1"/>
    <col min="10246" max="10246" width="0" style="1" hidden="1" customWidth="1"/>
    <col min="10247" max="10247" width="40.42578125" style="1" customWidth="1"/>
    <col min="10248" max="10248" width="9.140625" style="1" customWidth="1"/>
    <col min="10249" max="10250" width="11" style="1" customWidth="1"/>
    <col min="10251" max="10251" width="12.28515625" style="1" customWidth="1"/>
    <col min="10252" max="10254" width="12.85546875" style="1" customWidth="1"/>
    <col min="10255" max="10255" width="10.7109375" style="1" customWidth="1"/>
    <col min="10256" max="10256" width="12.7109375" style="1" customWidth="1"/>
    <col min="10257" max="10257" width="10.85546875" style="1" customWidth="1"/>
    <col min="10258" max="10258" width="11.28515625" style="1" customWidth="1"/>
    <col min="10259" max="10259" width="9.7109375" style="1" customWidth="1"/>
    <col min="10260" max="10260" width="11.140625" style="1" customWidth="1"/>
    <col min="10261" max="10261" width="12.42578125" style="1" customWidth="1"/>
    <col min="10262" max="10267" width="9.7109375" style="1" customWidth="1"/>
    <col min="10268" max="10268" width="6.140625" style="1" customWidth="1"/>
    <col min="10269" max="10498" width="8.85546875" style="1"/>
    <col min="10499" max="10499" width="6.85546875" style="1" customWidth="1"/>
    <col min="10500" max="10500" width="27.42578125" style="1" customWidth="1"/>
    <col min="10501" max="10501" width="12.85546875" style="1" customWidth="1"/>
    <col min="10502" max="10502" width="0" style="1" hidden="1" customWidth="1"/>
    <col min="10503" max="10503" width="40.42578125" style="1" customWidth="1"/>
    <col min="10504" max="10504" width="9.140625" style="1" customWidth="1"/>
    <col min="10505" max="10506" width="11" style="1" customWidth="1"/>
    <col min="10507" max="10507" width="12.28515625" style="1" customWidth="1"/>
    <col min="10508" max="10510" width="12.85546875" style="1" customWidth="1"/>
    <col min="10511" max="10511" width="10.7109375" style="1" customWidth="1"/>
    <col min="10512" max="10512" width="12.7109375" style="1" customWidth="1"/>
    <col min="10513" max="10513" width="10.85546875" style="1" customWidth="1"/>
    <col min="10514" max="10514" width="11.28515625" style="1" customWidth="1"/>
    <col min="10515" max="10515" width="9.7109375" style="1" customWidth="1"/>
    <col min="10516" max="10516" width="11.140625" style="1" customWidth="1"/>
    <col min="10517" max="10517" width="12.42578125" style="1" customWidth="1"/>
    <col min="10518" max="10523" width="9.7109375" style="1" customWidth="1"/>
    <col min="10524" max="10524" width="6.140625" style="1" customWidth="1"/>
    <col min="10525" max="10754" width="8.85546875" style="1"/>
    <col min="10755" max="10755" width="6.85546875" style="1" customWidth="1"/>
    <col min="10756" max="10756" width="27.42578125" style="1" customWidth="1"/>
    <col min="10757" max="10757" width="12.85546875" style="1" customWidth="1"/>
    <col min="10758" max="10758" width="0" style="1" hidden="1" customWidth="1"/>
    <col min="10759" max="10759" width="40.42578125" style="1" customWidth="1"/>
    <col min="10760" max="10760" width="9.140625" style="1" customWidth="1"/>
    <col min="10761" max="10762" width="11" style="1" customWidth="1"/>
    <col min="10763" max="10763" width="12.28515625" style="1" customWidth="1"/>
    <col min="10764" max="10766" width="12.85546875" style="1" customWidth="1"/>
    <col min="10767" max="10767" width="10.7109375" style="1" customWidth="1"/>
    <col min="10768" max="10768" width="12.7109375" style="1" customWidth="1"/>
    <col min="10769" max="10769" width="10.85546875" style="1" customWidth="1"/>
    <col min="10770" max="10770" width="11.28515625" style="1" customWidth="1"/>
    <col min="10771" max="10771" width="9.7109375" style="1" customWidth="1"/>
    <col min="10772" max="10772" width="11.140625" style="1" customWidth="1"/>
    <col min="10773" max="10773" width="12.42578125" style="1" customWidth="1"/>
    <col min="10774" max="10779" width="9.7109375" style="1" customWidth="1"/>
    <col min="10780" max="10780" width="6.140625" style="1" customWidth="1"/>
    <col min="10781" max="11010" width="8.85546875" style="1"/>
    <col min="11011" max="11011" width="6.85546875" style="1" customWidth="1"/>
    <col min="11012" max="11012" width="27.42578125" style="1" customWidth="1"/>
    <col min="11013" max="11013" width="12.85546875" style="1" customWidth="1"/>
    <col min="11014" max="11014" width="0" style="1" hidden="1" customWidth="1"/>
    <col min="11015" max="11015" width="40.42578125" style="1" customWidth="1"/>
    <col min="11016" max="11016" width="9.140625" style="1" customWidth="1"/>
    <col min="11017" max="11018" width="11" style="1" customWidth="1"/>
    <col min="11019" max="11019" width="12.28515625" style="1" customWidth="1"/>
    <col min="11020" max="11022" width="12.85546875" style="1" customWidth="1"/>
    <col min="11023" max="11023" width="10.7109375" style="1" customWidth="1"/>
    <col min="11024" max="11024" width="12.7109375" style="1" customWidth="1"/>
    <col min="11025" max="11025" width="10.85546875" style="1" customWidth="1"/>
    <col min="11026" max="11026" width="11.28515625" style="1" customWidth="1"/>
    <col min="11027" max="11027" width="9.7109375" style="1" customWidth="1"/>
    <col min="11028" max="11028" width="11.140625" style="1" customWidth="1"/>
    <col min="11029" max="11029" width="12.42578125" style="1" customWidth="1"/>
    <col min="11030" max="11035" width="9.7109375" style="1" customWidth="1"/>
    <col min="11036" max="11036" width="6.140625" style="1" customWidth="1"/>
    <col min="11037" max="11266" width="8.85546875" style="1"/>
    <col min="11267" max="11267" width="6.85546875" style="1" customWidth="1"/>
    <col min="11268" max="11268" width="27.42578125" style="1" customWidth="1"/>
    <col min="11269" max="11269" width="12.85546875" style="1" customWidth="1"/>
    <col min="11270" max="11270" width="0" style="1" hidden="1" customWidth="1"/>
    <col min="11271" max="11271" width="40.42578125" style="1" customWidth="1"/>
    <col min="11272" max="11272" width="9.140625" style="1" customWidth="1"/>
    <col min="11273" max="11274" width="11" style="1" customWidth="1"/>
    <col min="11275" max="11275" width="12.28515625" style="1" customWidth="1"/>
    <col min="11276" max="11278" width="12.85546875" style="1" customWidth="1"/>
    <col min="11279" max="11279" width="10.7109375" style="1" customWidth="1"/>
    <col min="11280" max="11280" width="12.7109375" style="1" customWidth="1"/>
    <col min="11281" max="11281" width="10.85546875" style="1" customWidth="1"/>
    <col min="11282" max="11282" width="11.28515625" style="1" customWidth="1"/>
    <col min="11283" max="11283" width="9.7109375" style="1" customWidth="1"/>
    <col min="11284" max="11284" width="11.140625" style="1" customWidth="1"/>
    <col min="11285" max="11285" width="12.42578125" style="1" customWidth="1"/>
    <col min="11286" max="11291" width="9.7109375" style="1" customWidth="1"/>
    <col min="11292" max="11292" width="6.140625" style="1" customWidth="1"/>
    <col min="11293" max="11522" width="8.85546875" style="1"/>
    <col min="11523" max="11523" width="6.85546875" style="1" customWidth="1"/>
    <col min="11524" max="11524" width="27.42578125" style="1" customWidth="1"/>
    <col min="11525" max="11525" width="12.85546875" style="1" customWidth="1"/>
    <col min="11526" max="11526" width="0" style="1" hidden="1" customWidth="1"/>
    <col min="11527" max="11527" width="40.42578125" style="1" customWidth="1"/>
    <col min="11528" max="11528" width="9.140625" style="1" customWidth="1"/>
    <col min="11529" max="11530" width="11" style="1" customWidth="1"/>
    <col min="11531" max="11531" width="12.28515625" style="1" customWidth="1"/>
    <col min="11532" max="11534" width="12.85546875" style="1" customWidth="1"/>
    <col min="11535" max="11535" width="10.7109375" style="1" customWidth="1"/>
    <col min="11536" max="11536" width="12.7109375" style="1" customWidth="1"/>
    <col min="11537" max="11537" width="10.85546875" style="1" customWidth="1"/>
    <col min="11538" max="11538" width="11.28515625" style="1" customWidth="1"/>
    <col min="11539" max="11539" width="9.7109375" style="1" customWidth="1"/>
    <col min="11540" max="11540" width="11.140625" style="1" customWidth="1"/>
    <col min="11541" max="11541" width="12.42578125" style="1" customWidth="1"/>
    <col min="11542" max="11547" width="9.7109375" style="1" customWidth="1"/>
    <col min="11548" max="11548" width="6.140625" style="1" customWidth="1"/>
    <col min="11549" max="11778" width="8.85546875" style="1"/>
    <col min="11779" max="11779" width="6.85546875" style="1" customWidth="1"/>
    <col min="11780" max="11780" width="27.42578125" style="1" customWidth="1"/>
    <col min="11781" max="11781" width="12.85546875" style="1" customWidth="1"/>
    <col min="11782" max="11782" width="0" style="1" hidden="1" customWidth="1"/>
    <col min="11783" max="11783" width="40.42578125" style="1" customWidth="1"/>
    <col min="11784" max="11784" width="9.140625" style="1" customWidth="1"/>
    <col min="11785" max="11786" width="11" style="1" customWidth="1"/>
    <col min="11787" max="11787" width="12.28515625" style="1" customWidth="1"/>
    <col min="11788" max="11790" width="12.85546875" style="1" customWidth="1"/>
    <col min="11791" max="11791" width="10.7109375" style="1" customWidth="1"/>
    <col min="11792" max="11792" width="12.7109375" style="1" customWidth="1"/>
    <col min="11793" max="11793" width="10.85546875" style="1" customWidth="1"/>
    <col min="11794" max="11794" width="11.28515625" style="1" customWidth="1"/>
    <col min="11795" max="11795" width="9.7109375" style="1" customWidth="1"/>
    <col min="11796" max="11796" width="11.140625" style="1" customWidth="1"/>
    <col min="11797" max="11797" width="12.42578125" style="1" customWidth="1"/>
    <col min="11798" max="11803" width="9.7109375" style="1" customWidth="1"/>
    <col min="11804" max="11804" width="6.140625" style="1" customWidth="1"/>
    <col min="11805" max="12034" width="8.85546875" style="1"/>
    <col min="12035" max="12035" width="6.85546875" style="1" customWidth="1"/>
    <col min="12036" max="12036" width="27.42578125" style="1" customWidth="1"/>
    <col min="12037" max="12037" width="12.85546875" style="1" customWidth="1"/>
    <col min="12038" max="12038" width="0" style="1" hidden="1" customWidth="1"/>
    <col min="12039" max="12039" width="40.42578125" style="1" customWidth="1"/>
    <col min="12040" max="12040" width="9.140625" style="1" customWidth="1"/>
    <col min="12041" max="12042" width="11" style="1" customWidth="1"/>
    <col min="12043" max="12043" width="12.28515625" style="1" customWidth="1"/>
    <col min="12044" max="12046" width="12.85546875" style="1" customWidth="1"/>
    <col min="12047" max="12047" width="10.7109375" style="1" customWidth="1"/>
    <col min="12048" max="12048" width="12.7109375" style="1" customWidth="1"/>
    <col min="12049" max="12049" width="10.85546875" style="1" customWidth="1"/>
    <col min="12050" max="12050" width="11.28515625" style="1" customWidth="1"/>
    <col min="12051" max="12051" width="9.7109375" style="1" customWidth="1"/>
    <col min="12052" max="12052" width="11.140625" style="1" customWidth="1"/>
    <col min="12053" max="12053" width="12.42578125" style="1" customWidth="1"/>
    <col min="12054" max="12059" width="9.7109375" style="1" customWidth="1"/>
    <col min="12060" max="12060" width="6.140625" style="1" customWidth="1"/>
    <col min="12061" max="12290" width="8.85546875" style="1"/>
    <col min="12291" max="12291" width="6.85546875" style="1" customWidth="1"/>
    <col min="12292" max="12292" width="27.42578125" style="1" customWidth="1"/>
    <col min="12293" max="12293" width="12.85546875" style="1" customWidth="1"/>
    <col min="12294" max="12294" width="0" style="1" hidden="1" customWidth="1"/>
    <col min="12295" max="12295" width="40.42578125" style="1" customWidth="1"/>
    <col min="12296" max="12296" width="9.140625" style="1" customWidth="1"/>
    <col min="12297" max="12298" width="11" style="1" customWidth="1"/>
    <col min="12299" max="12299" width="12.28515625" style="1" customWidth="1"/>
    <col min="12300" max="12302" width="12.85546875" style="1" customWidth="1"/>
    <col min="12303" max="12303" width="10.7109375" style="1" customWidth="1"/>
    <col min="12304" max="12304" width="12.7109375" style="1" customWidth="1"/>
    <col min="12305" max="12305" width="10.85546875" style="1" customWidth="1"/>
    <col min="12306" max="12306" width="11.28515625" style="1" customWidth="1"/>
    <col min="12307" max="12307" width="9.7109375" style="1" customWidth="1"/>
    <col min="12308" max="12308" width="11.140625" style="1" customWidth="1"/>
    <col min="12309" max="12309" width="12.42578125" style="1" customWidth="1"/>
    <col min="12310" max="12315" width="9.7109375" style="1" customWidth="1"/>
    <col min="12316" max="12316" width="6.140625" style="1" customWidth="1"/>
    <col min="12317" max="12546" width="8.85546875" style="1"/>
    <col min="12547" max="12547" width="6.85546875" style="1" customWidth="1"/>
    <col min="12548" max="12548" width="27.42578125" style="1" customWidth="1"/>
    <col min="12549" max="12549" width="12.85546875" style="1" customWidth="1"/>
    <col min="12550" max="12550" width="0" style="1" hidden="1" customWidth="1"/>
    <col min="12551" max="12551" width="40.42578125" style="1" customWidth="1"/>
    <col min="12552" max="12552" width="9.140625" style="1" customWidth="1"/>
    <col min="12553" max="12554" width="11" style="1" customWidth="1"/>
    <col min="12555" max="12555" width="12.28515625" style="1" customWidth="1"/>
    <col min="12556" max="12558" width="12.85546875" style="1" customWidth="1"/>
    <col min="12559" max="12559" width="10.7109375" style="1" customWidth="1"/>
    <col min="12560" max="12560" width="12.7109375" style="1" customWidth="1"/>
    <col min="12561" max="12561" width="10.85546875" style="1" customWidth="1"/>
    <col min="12562" max="12562" width="11.28515625" style="1" customWidth="1"/>
    <col min="12563" max="12563" width="9.7109375" style="1" customWidth="1"/>
    <col min="12564" max="12564" width="11.140625" style="1" customWidth="1"/>
    <col min="12565" max="12565" width="12.42578125" style="1" customWidth="1"/>
    <col min="12566" max="12571" width="9.7109375" style="1" customWidth="1"/>
    <col min="12572" max="12572" width="6.140625" style="1" customWidth="1"/>
    <col min="12573" max="12802" width="8.85546875" style="1"/>
    <col min="12803" max="12803" width="6.85546875" style="1" customWidth="1"/>
    <col min="12804" max="12804" width="27.42578125" style="1" customWidth="1"/>
    <col min="12805" max="12805" width="12.85546875" style="1" customWidth="1"/>
    <col min="12806" max="12806" width="0" style="1" hidden="1" customWidth="1"/>
    <col min="12807" max="12807" width="40.42578125" style="1" customWidth="1"/>
    <col min="12808" max="12808" width="9.140625" style="1" customWidth="1"/>
    <col min="12809" max="12810" width="11" style="1" customWidth="1"/>
    <col min="12811" max="12811" width="12.28515625" style="1" customWidth="1"/>
    <col min="12812" max="12814" width="12.85546875" style="1" customWidth="1"/>
    <col min="12815" max="12815" width="10.7109375" style="1" customWidth="1"/>
    <col min="12816" max="12816" width="12.7109375" style="1" customWidth="1"/>
    <col min="12817" max="12817" width="10.85546875" style="1" customWidth="1"/>
    <col min="12818" max="12818" width="11.28515625" style="1" customWidth="1"/>
    <col min="12819" max="12819" width="9.7109375" style="1" customWidth="1"/>
    <col min="12820" max="12820" width="11.140625" style="1" customWidth="1"/>
    <col min="12821" max="12821" width="12.42578125" style="1" customWidth="1"/>
    <col min="12822" max="12827" width="9.7109375" style="1" customWidth="1"/>
    <col min="12828" max="12828" width="6.140625" style="1" customWidth="1"/>
    <col min="12829" max="13058" width="8.85546875" style="1"/>
    <col min="13059" max="13059" width="6.85546875" style="1" customWidth="1"/>
    <col min="13060" max="13060" width="27.42578125" style="1" customWidth="1"/>
    <col min="13061" max="13061" width="12.85546875" style="1" customWidth="1"/>
    <col min="13062" max="13062" width="0" style="1" hidden="1" customWidth="1"/>
    <col min="13063" max="13063" width="40.42578125" style="1" customWidth="1"/>
    <col min="13064" max="13064" width="9.140625" style="1" customWidth="1"/>
    <col min="13065" max="13066" width="11" style="1" customWidth="1"/>
    <col min="13067" max="13067" width="12.28515625" style="1" customWidth="1"/>
    <col min="13068" max="13070" width="12.85546875" style="1" customWidth="1"/>
    <col min="13071" max="13071" width="10.7109375" style="1" customWidth="1"/>
    <col min="13072" max="13072" width="12.7109375" style="1" customWidth="1"/>
    <col min="13073" max="13073" width="10.85546875" style="1" customWidth="1"/>
    <col min="13074" max="13074" width="11.28515625" style="1" customWidth="1"/>
    <col min="13075" max="13075" width="9.7109375" style="1" customWidth="1"/>
    <col min="13076" max="13076" width="11.140625" style="1" customWidth="1"/>
    <col min="13077" max="13077" width="12.42578125" style="1" customWidth="1"/>
    <col min="13078" max="13083" width="9.7109375" style="1" customWidth="1"/>
    <col min="13084" max="13084" width="6.140625" style="1" customWidth="1"/>
    <col min="13085" max="13314" width="8.85546875" style="1"/>
    <col min="13315" max="13315" width="6.85546875" style="1" customWidth="1"/>
    <col min="13316" max="13316" width="27.42578125" style="1" customWidth="1"/>
    <col min="13317" max="13317" width="12.85546875" style="1" customWidth="1"/>
    <col min="13318" max="13318" width="0" style="1" hidden="1" customWidth="1"/>
    <col min="13319" max="13319" width="40.42578125" style="1" customWidth="1"/>
    <col min="13320" max="13320" width="9.140625" style="1" customWidth="1"/>
    <col min="13321" max="13322" width="11" style="1" customWidth="1"/>
    <col min="13323" max="13323" width="12.28515625" style="1" customWidth="1"/>
    <col min="13324" max="13326" width="12.85546875" style="1" customWidth="1"/>
    <col min="13327" max="13327" width="10.7109375" style="1" customWidth="1"/>
    <col min="13328" max="13328" width="12.7109375" style="1" customWidth="1"/>
    <col min="13329" max="13329" width="10.85546875" style="1" customWidth="1"/>
    <col min="13330" max="13330" width="11.28515625" style="1" customWidth="1"/>
    <col min="13331" max="13331" width="9.7109375" style="1" customWidth="1"/>
    <col min="13332" max="13332" width="11.140625" style="1" customWidth="1"/>
    <col min="13333" max="13333" width="12.42578125" style="1" customWidth="1"/>
    <col min="13334" max="13339" width="9.7109375" style="1" customWidth="1"/>
    <col min="13340" max="13340" width="6.140625" style="1" customWidth="1"/>
    <col min="13341" max="13570" width="8.85546875" style="1"/>
    <col min="13571" max="13571" width="6.85546875" style="1" customWidth="1"/>
    <col min="13572" max="13572" width="27.42578125" style="1" customWidth="1"/>
    <col min="13573" max="13573" width="12.85546875" style="1" customWidth="1"/>
    <col min="13574" max="13574" width="0" style="1" hidden="1" customWidth="1"/>
    <col min="13575" max="13575" width="40.42578125" style="1" customWidth="1"/>
    <col min="13576" max="13576" width="9.140625" style="1" customWidth="1"/>
    <col min="13577" max="13578" width="11" style="1" customWidth="1"/>
    <col min="13579" max="13579" width="12.28515625" style="1" customWidth="1"/>
    <col min="13580" max="13582" width="12.85546875" style="1" customWidth="1"/>
    <col min="13583" max="13583" width="10.7109375" style="1" customWidth="1"/>
    <col min="13584" max="13584" width="12.7109375" style="1" customWidth="1"/>
    <col min="13585" max="13585" width="10.85546875" style="1" customWidth="1"/>
    <col min="13586" max="13586" width="11.28515625" style="1" customWidth="1"/>
    <col min="13587" max="13587" width="9.7109375" style="1" customWidth="1"/>
    <col min="13588" max="13588" width="11.140625" style="1" customWidth="1"/>
    <col min="13589" max="13589" width="12.42578125" style="1" customWidth="1"/>
    <col min="13590" max="13595" width="9.7109375" style="1" customWidth="1"/>
    <col min="13596" max="13596" width="6.140625" style="1" customWidth="1"/>
    <col min="13597" max="13826" width="8.85546875" style="1"/>
    <col min="13827" max="13827" width="6.85546875" style="1" customWidth="1"/>
    <col min="13828" max="13828" width="27.42578125" style="1" customWidth="1"/>
    <col min="13829" max="13829" width="12.85546875" style="1" customWidth="1"/>
    <col min="13830" max="13830" width="0" style="1" hidden="1" customWidth="1"/>
    <col min="13831" max="13831" width="40.42578125" style="1" customWidth="1"/>
    <col min="13832" max="13832" width="9.140625" style="1" customWidth="1"/>
    <col min="13833" max="13834" width="11" style="1" customWidth="1"/>
    <col min="13835" max="13835" width="12.28515625" style="1" customWidth="1"/>
    <col min="13836" max="13838" width="12.85546875" style="1" customWidth="1"/>
    <col min="13839" max="13839" width="10.7109375" style="1" customWidth="1"/>
    <col min="13840" max="13840" width="12.7109375" style="1" customWidth="1"/>
    <col min="13841" max="13841" width="10.85546875" style="1" customWidth="1"/>
    <col min="13842" max="13842" width="11.28515625" style="1" customWidth="1"/>
    <col min="13843" max="13843" width="9.7109375" style="1" customWidth="1"/>
    <col min="13844" max="13844" width="11.140625" style="1" customWidth="1"/>
    <col min="13845" max="13845" width="12.42578125" style="1" customWidth="1"/>
    <col min="13846" max="13851" width="9.7109375" style="1" customWidth="1"/>
    <col min="13852" max="13852" width="6.140625" style="1" customWidth="1"/>
    <col min="13853" max="14082" width="8.85546875" style="1"/>
    <col min="14083" max="14083" width="6.85546875" style="1" customWidth="1"/>
    <col min="14084" max="14084" width="27.42578125" style="1" customWidth="1"/>
    <col min="14085" max="14085" width="12.85546875" style="1" customWidth="1"/>
    <col min="14086" max="14086" width="0" style="1" hidden="1" customWidth="1"/>
    <col min="14087" max="14087" width="40.42578125" style="1" customWidth="1"/>
    <col min="14088" max="14088" width="9.140625" style="1" customWidth="1"/>
    <col min="14089" max="14090" width="11" style="1" customWidth="1"/>
    <col min="14091" max="14091" width="12.28515625" style="1" customWidth="1"/>
    <col min="14092" max="14094" width="12.85546875" style="1" customWidth="1"/>
    <col min="14095" max="14095" width="10.7109375" style="1" customWidth="1"/>
    <col min="14096" max="14096" width="12.7109375" style="1" customWidth="1"/>
    <col min="14097" max="14097" width="10.85546875" style="1" customWidth="1"/>
    <col min="14098" max="14098" width="11.28515625" style="1" customWidth="1"/>
    <col min="14099" max="14099" width="9.7109375" style="1" customWidth="1"/>
    <col min="14100" max="14100" width="11.140625" style="1" customWidth="1"/>
    <col min="14101" max="14101" width="12.42578125" style="1" customWidth="1"/>
    <col min="14102" max="14107" width="9.7109375" style="1" customWidth="1"/>
    <col min="14108" max="14108" width="6.140625" style="1" customWidth="1"/>
    <col min="14109" max="14338" width="8.85546875" style="1"/>
    <col min="14339" max="14339" width="6.85546875" style="1" customWidth="1"/>
    <col min="14340" max="14340" width="27.42578125" style="1" customWidth="1"/>
    <col min="14341" max="14341" width="12.85546875" style="1" customWidth="1"/>
    <col min="14342" max="14342" width="0" style="1" hidden="1" customWidth="1"/>
    <col min="14343" max="14343" width="40.42578125" style="1" customWidth="1"/>
    <col min="14344" max="14344" width="9.140625" style="1" customWidth="1"/>
    <col min="14345" max="14346" width="11" style="1" customWidth="1"/>
    <col min="14347" max="14347" width="12.28515625" style="1" customWidth="1"/>
    <col min="14348" max="14350" width="12.85546875" style="1" customWidth="1"/>
    <col min="14351" max="14351" width="10.7109375" style="1" customWidth="1"/>
    <col min="14352" max="14352" width="12.7109375" style="1" customWidth="1"/>
    <col min="14353" max="14353" width="10.85546875" style="1" customWidth="1"/>
    <col min="14354" max="14354" width="11.28515625" style="1" customWidth="1"/>
    <col min="14355" max="14355" width="9.7109375" style="1" customWidth="1"/>
    <col min="14356" max="14356" width="11.140625" style="1" customWidth="1"/>
    <col min="14357" max="14357" width="12.42578125" style="1" customWidth="1"/>
    <col min="14358" max="14363" width="9.7109375" style="1" customWidth="1"/>
    <col min="14364" max="14364" width="6.140625" style="1" customWidth="1"/>
    <col min="14365" max="14594" width="8.85546875" style="1"/>
    <col min="14595" max="14595" width="6.85546875" style="1" customWidth="1"/>
    <col min="14596" max="14596" width="27.42578125" style="1" customWidth="1"/>
    <col min="14597" max="14597" width="12.85546875" style="1" customWidth="1"/>
    <col min="14598" max="14598" width="0" style="1" hidden="1" customWidth="1"/>
    <col min="14599" max="14599" width="40.42578125" style="1" customWidth="1"/>
    <col min="14600" max="14600" width="9.140625" style="1" customWidth="1"/>
    <col min="14601" max="14602" width="11" style="1" customWidth="1"/>
    <col min="14603" max="14603" width="12.28515625" style="1" customWidth="1"/>
    <col min="14604" max="14606" width="12.85546875" style="1" customWidth="1"/>
    <col min="14607" max="14607" width="10.7109375" style="1" customWidth="1"/>
    <col min="14608" max="14608" width="12.7109375" style="1" customWidth="1"/>
    <col min="14609" max="14609" width="10.85546875" style="1" customWidth="1"/>
    <col min="14610" max="14610" width="11.28515625" style="1" customWidth="1"/>
    <col min="14611" max="14611" width="9.7109375" style="1" customWidth="1"/>
    <col min="14612" max="14612" width="11.140625" style="1" customWidth="1"/>
    <col min="14613" max="14613" width="12.42578125" style="1" customWidth="1"/>
    <col min="14614" max="14619" width="9.7109375" style="1" customWidth="1"/>
    <col min="14620" max="14620" width="6.140625" style="1" customWidth="1"/>
    <col min="14621" max="14850" width="8.85546875" style="1"/>
    <col min="14851" max="14851" width="6.85546875" style="1" customWidth="1"/>
    <col min="14852" max="14852" width="27.42578125" style="1" customWidth="1"/>
    <col min="14853" max="14853" width="12.85546875" style="1" customWidth="1"/>
    <col min="14854" max="14854" width="0" style="1" hidden="1" customWidth="1"/>
    <col min="14855" max="14855" width="40.42578125" style="1" customWidth="1"/>
    <col min="14856" max="14856" width="9.140625" style="1" customWidth="1"/>
    <col min="14857" max="14858" width="11" style="1" customWidth="1"/>
    <col min="14859" max="14859" width="12.28515625" style="1" customWidth="1"/>
    <col min="14860" max="14862" width="12.85546875" style="1" customWidth="1"/>
    <col min="14863" max="14863" width="10.7109375" style="1" customWidth="1"/>
    <col min="14864" max="14864" width="12.7109375" style="1" customWidth="1"/>
    <col min="14865" max="14865" width="10.85546875" style="1" customWidth="1"/>
    <col min="14866" max="14866" width="11.28515625" style="1" customWidth="1"/>
    <col min="14867" max="14867" width="9.7109375" style="1" customWidth="1"/>
    <col min="14868" max="14868" width="11.140625" style="1" customWidth="1"/>
    <col min="14869" max="14869" width="12.42578125" style="1" customWidth="1"/>
    <col min="14870" max="14875" width="9.7109375" style="1" customWidth="1"/>
    <col min="14876" max="14876" width="6.140625" style="1" customWidth="1"/>
    <col min="14877" max="15106" width="8.85546875" style="1"/>
    <col min="15107" max="15107" width="6.85546875" style="1" customWidth="1"/>
    <col min="15108" max="15108" width="27.42578125" style="1" customWidth="1"/>
    <col min="15109" max="15109" width="12.85546875" style="1" customWidth="1"/>
    <col min="15110" max="15110" width="0" style="1" hidden="1" customWidth="1"/>
    <col min="15111" max="15111" width="40.42578125" style="1" customWidth="1"/>
    <col min="15112" max="15112" width="9.140625" style="1" customWidth="1"/>
    <col min="15113" max="15114" width="11" style="1" customWidth="1"/>
    <col min="15115" max="15115" width="12.28515625" style="1" customWidth="1"/>
    <col min="15116" max="15118" width="12.85546875" style="1" customWidth="1"/>
    <col min="15119" max="15119" width="10.7109375" style="1" customWidth="1"/>
    <col min="15120" max="15120" width="12.7109375" style="1" customWidth="1"/>
    <col min="15121" max="15121" width="10.85546875" style="1" customWidth="1"/>
    <col min="15122" max="15122" width="11.28515625" style="1" customWidth="1"/>
    <col min="15123" max="15123" width="9.7109375" style="1" customWidth="1"/>
    <col min="15124" max="15124" width="11.140625" style="1" customWidth="1"/>
    <col min="15125" max="15125" width="12.42578125" style="1" customWidth="1"/>
    <col min="15126" max="15131" width="9.7109375" style="1" customWidth="1"/>
    <col min="15132" max="15132" width="6.140625" style="1" customWidth="1"/>
    <col min="15133" max="15362" width="8.85546875" style="1"/>
    <col min="15363" max="15363" width="6.85546875" style="1" customWidth="1"/>
    <col min="15364" max="15364" width="27.42578125" style="1" customWidth="1"/>
    <col min="15365" max="15365" width="12.85546875" style="1" customWidth="1"/>
    <col min="15366" max="15366" width="0" style="1" hidden="1" customWidth="1"/>
    <col min="15367" max="15367" width="40.42578125" style="1" customWidth="1"/>
    <col min="15368" max="15368" width="9.140625" style="1" customWidth="1"/>
    <col min="15369" max="15370" width="11" style="1" customWidth="1"/>
    <col min="15371" max="15371" width="12.28515625" style="1" customWidth="1"/>
    <col min="15372" max="15374" width="12.85546875" style="1" customWidth="1"/>
    <col min="15375" max="15375" width="10.7109375" style="1" customWidth="1"/>
    <col min="15376" max="15376" width="12.7109375" style="1" customWidth="1"/>
    <col min="15377" max="15377" width="10.85546875" style="1" customWidth="1"/>
    <col min="15378" max="15378" width="11.28515625" style="1" customWidth="1"/>
    <col min="15379" max="15379" width="9.7109375" style="1" customWidth="1"/>
    <col min="15380" max="15380" width="11.140625" style="1" customWidth="1"/>
    <col min="15381" max="15381" width="12.42578125" style="1" customWidth="1"/>
    <col min="15382" max="15387" width="9.7109375" style="1" customWidth="1"/>
    <col min="15388" max="15388" width="6.140625" style="1" customWidth="1"/>
    <col min="15389" max="15618" width="8.85546875" style="1"/>
    <col min="15619" max="15619" width="6.85546875" style="1" customWidth="1"/>
    <col min="15620" max="15620" width="27.42578125" style="1" customWidth="1"/>
    <col min="15621" max="15621" width="12.85546875" style="1" customWidth="1"/>
    <col min="15622" max="15622" width="0" style="1" hidden="1" customWidth="1"/>
    <col min="15623" max="15623" width="40.42578125" style="1" customWidth="1"/>
    <col min="15624" max="15624" width="9.140625" style="1" customWidth="1"/>
    <col min="15625" max="15626" width="11" style="1" customWidth="1"/>
    <col min="15627" max="15627" width="12.28515625" style="1" customWidth="1"/>
    <col min="15628" max="15630" width="12.85546875" style="1" customWidth="1"/>
    <col min="15631" max="15631" width="10.7109375" style="1" customWidth="1"/>
    <col min="15632" max="15632" width="12.7109375" style="1" customWidth="1"/>
    <col min="15633" max="15633" width="10.85546875" style="1" customWidth="1"/>
    <col min="15634" max="15634" width="11.28515625" style="1" customWidth="1"/>
    <col min="15635" max="15635" width="9.7109375" style="1" customWidth="1"/>
    <col min="15636" max="15636" width="11.140625" style="1" customWidth="1"/>
    <col min="15637" max="15637" width="12.42578125" style="1" customWidth="1"/>
    <col min="15638" max="15643" width="9.7109375" style="1" customWidth="1"/>
    <col min="15644" max="15644" width="6.140625" style="1" customWidth="1"/>
    <col min="15645" max="15874" width="8.85546875" style="1"/>
    <col min="15875" max="15875" width="6.85546875" style="1" customWidth="1"/>
    <col min="15876" max="15876" width="27.42578125" style="1" customWidth="1"/>
    <col min="15877" max="15877" width="12.85546875" style="1" customWidth="1"/>
    <col min="15878" max="15878" width="0" style="1" hidden="1" customWidth="1"/>
    <col min="15879" max="15879" width="40.42578125" style="1" customWidth="1"/>
    <col min="15880" max="15880" width="9.140625" style="1" customWidth="1"/>
    <col min="15881" max="15882" width="11" style="1" customWidth="1"/>
    <col min="15883" max="15883" width="12.28515625" style="1" customWidth="1"/>
    <col min="15884" max="15886" width="12.85546875" style="1" customWidth="1"/>
    <col min="15887" max="15887" width="10.7109375" style="1" customWidth="1"/>
    <col min="15888" max="15888" width="12.7109375" style="1" customWidth="1"/>
    <col min="15889" max="15889" width="10.85546875" style="1" customWidth="1"/>
    <col min="15890" max="15890" width="11.28515625" style="1" customWidth="1"/>
    <col min="15891" max="15891" width="9.7109375" style="1" customWidth="1"/>
    <col min="15892" max="15892" width="11.140625" style="1" customWidth="1"/>
    <col min="15893" max="15893" width="12.42578125" style="1" customWidth="1"/>
    <col min="15894" max="15899" width="9.7109375" style="1" customWidth="1"/>
    <col min="15900" max="15900" width="6.140625" style="1" customWidth="1"/>
    <col min="15901" max="16130" width="8.85546875" style="1"/>
    <col min="16131" max="16131" width="6.85546875" style="1" customWidth="1"/>
    <col min="16132" max="16132" width="27.42578125" style="1" customWidth="1"/>
    <col min="16133" max="16133" width="12.85546875" style="1" customWidth="1"/>
    <col min="16134" max="16134" width="0" style="1" hidden="1" customWidth="1"/>
    <col min="16135" max="16135" width="40.42578125" style="1" customWidth="1"/>
    <col min="16136" max="16136" width="9.140625" style="1" customWidth="1"/>
    <col min="16137" max="16138" width="11" style="1" customWidth="1"/>
    <col min="16139" max="16139" width="12.28515625" style="1" customWidth="1"/>
    <col min="16140" max="16142" width="12.85546875" style="1" customWidth="1"/>
    <col min="16143" max="16143" width="10.7109375" style="1" customWidth="1"/>
    <col min="16144" max="16144" width="12.7109375" style="1" customWidth="1"/>
    <col min="16145" max="16145" width="10.85546875" style="1" customWidth="1"/>
    <col min="16146" max="16146" width="11.28515625" style="1" customWidth="1"/>
    <col min="16147" max="16147" width="9.7109375" style="1" customWidth="1"/>
    <col min="16148" max="16148" width="11.140625" style="1" customWidth="1"/>
    <col min="16149" max="16149" width="12.42578125" style="1" customWidth="1"/>
    <col min="16150" max="16155" width="9.7109375" style="1" customWidth="1"/>
    <col min="16156" max="16156" width="6.140625" style="1" customWidth="1"/>
    <col min="16157" max="16374" width="8.85546875" style="1"/>
    <col min="16375" max="16384" width="8.85546875" style="1" customWidth="1"/>
  </cols>
  <sheetData>
    <row r="1" spans="1:34" ht="22.15" customHeight="1">
      <c r="B1" s="457" t="s">
        <v>1095</v>
      </c>
      <c r="C1" s="406"/>
      <c r="D1" s="406"/>
      <c r="E1" s="406"/>
      <c r="F1" s="406"/>
      <c r="G1" s="406"/>
      <c r="H1" s="406"/>
      <c r="I1" s="406"/>
      <c r="J1" s="406"/>
      <c r="K1" s="406"/>
      <c r="L1" s="406"/>
      <c r="M1" s="406"/>
      <c r="N1" s="406"/>
      <c r="O1" s="406"/>
      <c r="P1" s="406"/>
      <c r="Q1" s="406"/>
      <c r="R1" s="476"/>
      <c r="S1" s="476"/>
      <c r="T1" s="406"/>
      <c r="U1" s="476"/>
      <c r="V1" s="476"/>
      <c r="W1" s="406"/>
      <c r="X1" s="476"/>
      <c r="Y1" s="476"/>
      <c r="Z1" s="406"/>
      <c r="AA1" s="653" t="s">
        <v>1096</v>
      </c>
      <c r="AB1" s="653"/>
    </row>
    <row r="2" spans="1:34" ht="33.75" customHeight="1">
      <c r="A2" s="654" t="s">
        <v>1093</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row>
    <row r="3" spans="1:34">
      <c r="A3" s="642" t="str">
        <f>+'[1]Phụ lục 1'!$A$3:$L$3</f>
        <v>(Kèm theo Quyết định số         /QĐ-UBND ngày             /10/2022 của UBND huyện Na Rì)</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row>
    <row r="4" spans="1:34">
      <c r="A4" s="2"/>
      <c r="B4" s="234"/>
      <c r="C4" s="2"/>
      <c r="D4" s="2"/>
      <c r="E4" s="2"/>
      <c r="F4" s="2"/>
      <c r="G4" s="235"/>
      <c r="H4" s="282"/>
      <c r="I4" s="643" t="s">
        <v>0</v>
      </c>
      <c r="J4" s="643"/>
      <c r="K4" s="643"/>
      <c r="L4" s="643"/>
      <c r="M4" s="643"/>
      <c r="N4" s="643"/>
      <c r="O4" s="643"/>
      <c r="P4" s="643"/>
      <c r="Q4" s="643"/>
      <c r="R4" s="643"/>
      <c r="S4" s="643"/>
      <c r="T4" s="643"/>
      <c r="U4" s="643"/>
      <c r="V4" s="643"/>
      <c r="W4" s="643"/>
      <c r="X4" s="643"/>
      <c r="Y4" s="643"/>
      <c r="Z4" s="643"/>
      <c r="AA4" s="643"/>
      <c r="AB4" s="643"/>
    </row>
    <row r="5" spans="1:34" ht="36" customHeight="1">
      <c r="A5" s="644" t="s">
        <v>1</v>
      </c>
      <c r="B5" s="645" t="s">
        <v>2</v>
      </c>
      <c r="C5" s="644" t="s">
        <v>3</v>
      </c>
      <c r="D5" s="233"/>
      <c r="E5" s="644" t="s">
        <v>4</v>
      </c>
      <c r="F5" s="644" t="s">
        <v>5</v>
      </c>
      <c r="G5" s="655" t="s">
        <v>6</v>
      </c>
      <c r="H5" s="656"/>
      <c r="I5" s="656"/>
      <c r="J5" s="657"/>
      <c r="K5" s="655" t="s">
        <v>1105</v>
      </c>
      <c r="L5" s="656"/>
      <c r="M5" s="657"/>
      <c r="N5" s="655" t="s">
        <v>7</v>
      </c>
      <c r="O5" s="656"/>
      <c r="P5" s="656"/>
      <c r="Q5" s="644" t="s">
        <v>915</v>
      </c>
      <c r="R5" s="644"/>
      <c r="S5" s="644"/>
      <c r="T5" s="655" t="s">
        <v>1106</v>
      </c>
      <c r="U5" s="656"/>
      <c r="V5" s="656"/>
      <c r="W5" s="655" t="s">
        <v>1107</v>
      </c>
      <c r="X5" s="656"/>
      <c r="Y5" s="656"/>
      <c r="Z5" s="459"/>
      <c r="AA5" s="461"/>
      <c r="AB5" s="644" t="s">
        <v>8</v>
      </c>
    </row>
    <row r="6" spans="1:34" ht="42.75">
      <c r="A6" s="644"/>
      <c r="B6" s="645"/>
      <c r="C6" s="644"/>
      <c r="D6" s="233"/>
      <c r="E6" s="644"/>
      <c r="F6" s="644"/>
      <c r="G6" s="3" t="s">
        <v>9</v>
      </c>
      <c r="H6" s="283" t="s">
        <v>10</v>
      </c>
      <c r="I6" s="3" t="s">
        <v>11</v>
      </c>
      <c r="J6" s="3" t="s">
        <v>12</v>
      </c>
      <c r="K6" s="460" t="s">
        <v>9</v>
      </c>
      <c r="L6" s="460" t="s">
        <v>10</v>
      </c>
      <c r="M6" s="460" t="s">
        <v>11</v>
      </c>
      <c r="N6" s="498" t="s">
        <v>9</v>
      </c>
      <c r="O6" s="3" t="s">
        <v>10</v>
      </c>
      <c r="P6" s="3" t="s">
        <v>11</v>
      </c>
      <c r="Q6" s="460" t="s">
        <v>9</v>
      </c>
      <c r="R6" s="477" t="s">
        <v>10</v>
      </c>
      <c r="S6" s="477" t="s">
        <v>11</v>
      </c>
      <c r="T6" s="460" t="s">
        <v>9</v>
      </c>
      <c r="U6" s="477" t="s">
        <v>10</v>
      </c>
      <c r="V6" s="477" t="s">
        <v>11</v>
      </c>
      <c r="W6" s="460" t="s">
        <v>9</v>
      </c>
      <c r="X6" s="477" t="s">
        <v>10</v>
      </c>
      <c r="Y6" s="477" t="s">
        <v>11</v>
      </c>
      <c r="Z6" s="460"/>
      <c r="AA6" s="3" t="s">
        <v>12</v>
      </c>
      <c r="AB6" s="644"/>
    </row>
    <row r="7" spans="1:34">
      <c r="A7" s="4" t="s">
        <v>48</v>
      </c>
      <c r="B7" s="4" t="s">
        <v>49</v>
      </c>
      <c r="C7" s="4" t="s">
        <v>1083</v>
      </c>
      <c r="D7" s="4"/>
      <c r="E7" s="4"/>
      <c r="F7" s="4">
        <v>1</v>
      </c>
      <c r="G7" s="425">
        <f>+F7+1</f>
        <v>2</v>
      </c>
      <c r="H7" s="425">
        <f t="shared" ref="H7:AB7" si="0">+G7+1</f>
        <v>3</v>
      </c>
      <c r="I7" s="425">
        <f t="shared" si="0"/>
        <v>4</v>
      </c>
      <c r="J7" s="425">
        <f t="shared" si="0"/>
        <v>5</v>
      </c>
      <c r="K7" s="425"/>
      <c r="L7" s="425"/>
      <c r="M7" s="425"/>
      <c r="N7" s="425">
        <f>+J7+1</f>
        <v>6</v>
      </c>
      <c r="O7" s="425">
        <f t="shared" si="0"/>
        <v>7</v>
      </c>
      <c r="P7" s="425">
        <f t="shared" si="0"/>
        <v>8</v>
      </c>
      <c r="Q7" s="425"/>
      <c r="R7" s="478"/>
      <c r="S7" s="478"/>
      <c r="T7" s="425"/>
      <c r="U7" s="478"/>
      <c r="V7" s="478"/>
      <c r="W7" s="425"/>
      <c r="X7" s="478"/>
      <c r="Y7" s="478"/>
      <c r="Z7" s="425"/>
      <c r="AA7" s="425">
        <f>+P7+1</f>
        <v>9</v>
      </c>
      <c r="AB7" s="425">
        <f t="shared" si="0"/>
        <v>10</v>
      </c>
    </row>
    <row r="8" spans="1:34" ht="33" hidden="1" customHeight="1">
      <c r="A8" s="4"/>
      <c r="B8" s="297" t="s">
        <v>13</v>
      </c>
      <c r="C8" s="4"/>
      <c r="D8" s="4"/>
      <c r="E8" s="4"/>
      <c r="F8" s="4"/>
      <c r="G8" s="323">
        <f>+G9+G12+G324</f>
        <v>170240.96</v>
      </c>
      <c r="H8" s="323">
        <f>+H9+H12+H324</f>
        <v>161824.94999999995</v>
      </c>
      <c r="I8" s="323">
        <f>+I9+I12+I324</f>
        <v>8416.0099999999984</v>
      </c>
      <c r="J8" s="323">
        <f>+J9+J12+J324</f>
        <v>0</v>
      </c>
      <c r="K8" s="323"/>
      <c r="L8" s="323"/>
      <c r="M8" s="323"/>
      <c r="N8" s="323">
        <f>+N9+N12+N324</f>
        <v>29412</v>
      </c>
      <c r="O8" s="323">
        <f>+O9+O12+O324</f>
        <v>27995.999999999996</v>
      </c>
      <c r="P8" s="323">
        <f>+P9+P12+P324</f>
        <v>1416</v>
      </c>
      <c r="Q8" s="323"/>
      <c r="R8" s="479"/>
      <c r="S8" s="479"/>
      <c r="T8" s="323"/>
      <c r="U8" s="479"/>
      <c r="V8" s="479"/>
      <c r="W8" s="323"/>
      <c r="X8" s="479"/>
      <c r="Y8" s="479"/>
      <c r="Z8" s="323"/>
      <c r="AA8" s="323">
        <f>+AA9+AA12+AA324</f>
        <v>0</v>
      </c>
      <c r="AB8" s="4"/>
    </row>
    <row r="9" spans="1:34" ht="63" customHeight="1">
      <c r="A9" s="297" t="s">
        <v>14</v>
      </c>
      <c r="B9" s="236" t="s">
        <v>15</v>
      </c>
      <c r="C9" s="236"/>
      <c r="D9" s="236"/>
      <c r="E9" s="236"/>
      <c r="F9" s="236"/>
      <c r="G9" s="323">
        <f>+G10</f>
        <v>9796</v>
      </c>
      <c r="H9" s="323">
        <f t="shared" ref="H9:AA9" si="1">+H10</f>
        <v>9020</v>
      </c>
      <c r="I9" s="323">
        <f t="shared" si="1"/>
        <v>776</v>
      </c>
      <c r="J9" s="323">
        <f t="shared" si="1"/>
        <v>0</v>
      </c>
      <c r="K9" s="323"/>
      <c r="L9" s="323"/>
      <c r="M9" s="323"/>
      <c r="N9" s="323">
        <f t="shared" si="1"/>
        <v>530</v>
      </c>
      <c r="O9" s="323">
        <f t="shared" si="1"/>
        <v>490</v>
      </c>
      <c r="P9" s="323">
        <f t="shared" si="1"/>
        <v>40</v>
      </c>
      <c r="Q9" s="323"/>
      <c r="R9" s="479"/>
      <c r="S9" s="479"/>
      <c r="T9" s="323"/>
      <c r="U9" s="479"/>
      <c r="V9" s="479"/>
      <c r="W9" s="323"/>
      <c r="X9" s="479"/>
      <c r="Y9" s="479"/>
      <c r="Z9" s="323"/>
      <c r="AA9" s="323">
        <f t="shared" si="1"/>
        <v>0</v>
      </c>
      <c r="AB9" s="236"/>
    </row>
    <row r="10" spans="1:34" s="7" customFormat="1" ht="48" customHeight="1">
      <c r="A10" s="6" t="s">
        <v>16</v>
      </c>
      <c r="B10" s="658" t="s">
        <v>17</v>
      </c>
      <c r="C10" s="658"/>
      <c r="D10" s="238"/>
      <c r="E10" s="239"/>
      <c r="F10" s="128" t="s">
        <v>19</v>
      </c>
      <c r="G10" s="444">
        <f t="shared" ref="G10:G11" si="2">H10+I10</f>
        <v>9796</v>
      </c>
      <c r="H10" s="444">
        <f>SUM(H11:H11)</f>
        <v>9020</v>
      </c>
      <c r="I10" s="444">
        <f>SUM(I11:I11)</f>
        <v>776</v>
      </c>
      <c r="J10" s="444">
        <v>0</v>
      </c>
      <c r="K10" s="444"/>
      <c r="L10" s="444"/>
      <c r="M10" s="444"/>
      <c r="N10" s="444">
        <f>SUM(N11:N11)</f>
        <v>530</v>
      </c>
      <c r="O10" s="444">
        <f>SUM(O11:O11)</f>
        <v>490</v>
      </c>
      <c r="P10" s="444">
        <f>SUM(P11:P11)</f>
        <v>40</v>
      </c>
      <c r="Q10" s="444"/>
      <c r="R10" s="480"/>
      <c r="S10" s="480"/>
      <c r="T10" s="444"/>
      <c r="U10" s="480"/>
      <c r="V10" s="480"/>
      <c r="W10" s="444"/>
      <c r="X10" s="480"/>
      <c r="Y10" s="480"/>
      <c r="Z10" s="444"/>
      <c r="AA10" s="444">
        <f>SUM(AA11:AA11)</f>
        <v>0</v>
      </c>
      <c r="AB10" s="239"/>
      <c r="AC10" s="366"/>
      <c r="AD10" s="366"/>
      <c r="AE10" s="366"/>
    </row>
    <row r="11" spans="1:34" ht="45" customHeight="1">
      <c r="A11" s="8">
        <v>1</v>
      </c>
      <c r="B11" s="241" t="s">
        <v>23</v>
      </c>
      <c r="C11" s="241"/>
      <c r="D11" s="241"/>
      <c r="E11" s="241"/>
      <c r="F11" s="9" t="s">
        <v>19</v>
      </c>
      <c r="G11" s="445">
        <f t="shared" si="2"/>
        <v>9796</v>
      </c>
      <c r="H11" s="445">
        <v>9020</v>
      </c>
      <c r="I11" s="445">
        <v>776</v>
      </c>
      <c r="J11" s="445"/>
      <c r="K11" s="445"/>
      <c r="L11" s="445"/>
      <c r="M11" s="445"/>
      <c r="N11" s="445">
        <f t="shared" ref="N11" si="3">O11+P11</f>
        <v>530</v>
      </c>
      <c r="O11" s="445">
        <v>490</v>
      </c>
      <c r="P11" s="445">
        <v>40</v>
      </c>
      <c r="Q11" s="445"/>
      <c r="R11" s="481"/>
      <c r="S11" s="481"/>
      <c r="T11" s="445"/>
      <c r="U11" s="481"/>
      <c r="V11" s="481"/>
      <c r="W11" s="445"/>
      <c r="X11" s="481"/>
      <c r="Y11" s="481"/>
      <c r="Z11" s="445"/>
      <c r="AA11" s="445"/>
      <c r="AB11" s="241"/>
    </row>
    <row r="12" spans="1:34" ht="81" customHeight="1">
      <c r="A12" s="404" t="s">
        <v>34</v>
      </c>
      <c r="B12" s="239" t="s">
        <v>45</v>
      </c>
      <c r="C12" s="12"/>
      <c r="D12" s="12"/>
      <c r="E12" s="12"/>
      <c r="F12" s="12"/>
      <c r="G12" s="323">
        <f>+G13</f>
        <v>154893.96</v>
      </c>
      <c r="H12" s="323">
        <f t="shared" ref="H12:AA12" si="4">+H13</f>
        <v>147517.94999999995</v>
      </c>
      <c r="I12" s="323">
        <f t="shared" si="4"/>
        <v>7376.0099999999984</v>
      </c>
      <c r="J12" s="323">
        <f t="shared" si="4"/>
        <v>0</v>
      </c>
      <c r="K12" s="323"/>
      <c r="L12" s="323"/>
      <c r="M12" s="323"/>
      <c r="N12" s="323">
        <f t="shared" si="4"/>
        <v>27882</v>
      </c>
      <c r="O12" s="323">
        <f t="shared" si="4"/>
        <v>26553.999999999996</v>
      </c>
      <c r="P12" s="323">
        <f t="shared" si="4"/>
        <v>1328</v>
      </c>
      <c r="Q12" s="323"/>
      <c r="R12" s="479"/>
      <c r="S12" s="479"/>
      <c r="T12" s="323"/>
      <c r="U12" s="479"/>
      <c r="V12" s="479"/>
      <c r="W12" s="323"/>
      <c r="X12" s="479"/>
      <c r="Y12" s="479"/>
      <c r="Z12" s="323"/>
      <c r="AA12" s="323">
        <f t="shared" si="4"/>
        <v>0</v>
      </c>
      <c r="AB12" s="12"/>
      <c r="AC12" s="659"/>
      <c r="AD12" s="659"/>
      <c r="AE12" s="659"/>
      <c r="AF12" s="659"/>
      <c r="AG12" s="659"/>
      <c r="AH12" s="659"/>
    </row>
    <row r="13" spans="1:34" s="7" customFormat="1" ht="94.5" customHeight="1">
      <c r="A13" s="6" t="s">
        <v>985</v>
      </c>
      <c r="B13" s="414" t="s">
        <v>1007</v>
      </c>
      <c r="C13" s="128"/>
      <c r="D13" s="128"/>
      <c r="E13" s="128"/>
      <c r="F13" s="128"/>
      <c r="G13" s="475">
        <f t="shared" ref="G13:Y13" si="5">G14+G30+G45+G55+G69+G84+G105+G120+G153+G137+G164+G183+G200+G220+G225+G241+G257</f>
        <v>154893.96</v>
      </c>
      <c r="H13" s="475">
        <f t="shared" si="5"/>
        <v>147517.94999999995</v>
      </c>
      <c r="I13" s="475">
        <f t="shared" si="5"/>
        <v>7376.0099999999984</v>
      </c>
      <c r="J13" s="323">
        <f t="shared" si="5"/>
        <v>0</v>
      </c>
      <c r="K13" s="474">
        <f t="shared" si="5"/>
        <v>103423.94999999998</v>
      </c>
      <c r="L13" s="474">
        <f t="shared" si="5"/>
        <v>98084.000000000015</v>
      </c>
      <c r="M13" s="474">
        <f t="shared" si="5"/>
        <v>5339.95</v>
      </c>
      <c r="N13" s="323">
        <f t="shared" si="5"/>
        <v>27882</v>
      </c>
      <c r="O13" s="323">
        <f t="shared" si="5"/>
        <v>26553.999999999996</v>
      </c>
      <c r="P13" s="323">
        <f t="shared" si="5"/>
        <v>1328</v>
      </c>
      <c r="Q13" s="323">
        <f t="shared" si="5"/>
        <v>37517</v>
      </c>
      <c r="R13" s="479">
        <f t="shared" si="5"/>
        <v>35595</v>
      </c>
      <c r="S13" s="479">
        <f t="shared" si="5"/>
        <v>1922</v>
      </c>
      <c r="T13" s="323">
        <f t="shared" si="5"/>
        <v>38024.949999999997</v>
      </c>
      <c r="U13" s="479">
        <f t="shared" si="5"/>
        <v>35934.999999999993</v>
      </c>
      <c r="V13" s="479">
        <f t="shared" si="5"/>
        <v>2089.9499999999998</v>
      </c>
      <c r="W13" s="323">
        <f t="shared" si="5"/>
        <v>51458.921739999998</v>
      </c>
      <c r="X13" s="479">
        <f t="shared" si="5"/>
        <v>49424.615839999999</v>
      </c>
      <c r="Y13" s="479">
        <f t="shared" si="5"/>
        <v>2034.3059000000001</v>
      </c>
      <c r="Z13" s="323"/>
      <c r="AA13" s="323">
        <f>AA14+AA30+AA45+AA55+AA69+AA84+AA105+AA120+AA153+AA137+AA164+AA183+AA200+AA220+AA225+AA241+AA257</f>
        <v>0</v>
      </c>
      <c r="AB13" s="12"/>
      <c r="AC13" s="367"/>
      <c r="AD13" s="367"/>
      <c r="AE13" s="367"/>
      <c r="AF13" s="13"/>
      <c r="AG13" s="13"/>
      <c r="AH13" s="13"/>
    </row>
    <row r="14" spans="1:34" s="14" customFormat="1" ht="23.25" customHeight="1">
      <c r="A14" s="4" t="s">
        <v>987</v>
      </c>
      <c r="B14" s="507" t="s">
        <v>61</v>
      </c>
      <c r="C14" s="16"/>
      <c r="D14" s="16"/>
      <c r="E14" s="16"/>
      <c r="F14" s="16"/>
      <c r="G14" s="472">
        <f>SUM(G15:G29)</f>
        <v>4512.96</v>
      </c>
      <c r="H14" s="472">
        <f>SUM(H15:H29)</f>
        <v>4298</v>
      </c>
      <c r="I14" s="472">
        <f>SUM(I15:I29)</f>
        <v>214.96000000000004</v>
      </c>
      <c r="J14" s="472">
        <f>SUM(J15:J29)</f>
        <v>0</v>
      </c>
      <c r="K14" s="446">
        <f>SUM(K15:K27)</f>
        <v>2970.8230999999996</v>
      </c>
      <c r="L14" s="446">
        <f>SUM(L15:L27)</f>
        <v>2815.2231000000002</v>
      </c>
      <c r="M14" s="446">
        <f>SUM(M15:M27)</f>
        <v>155.60000000000002</v>
      </c>
      <c r="N14" s="446">
        <f>SUM(N15:N29)</f>
        <v>812.29</v>
      </c>
      <c r="O14" s="446">
        <f t="shared" ref="O14:V14" si="6">SUM(O15:O27)</f>
        <v>773.6</v>
      </c>
      <c r="P14" s="446">
        <f t="shared" si="6"/>
        <v>38.69</v>
      </c>
      <c r="Q14" s="446">
        <f t="shared" si="6"/>
        <v>1050.9331000000002</v>
      </c>
      <c r="R14" s="482">
        <f t="shared" si="6"/>
        <v>994.92309999999998</v>
      </c>
      <c r="S14" s="482">
        <f t="shared" si="6"/>
        <v>56.010000000000005</v>
      </c>
      <c r="T14" s="446">
        <f t="shared" si="6"/>
        <v>1107.5999999999999</v>
      </c>
      <c r="U14" s="482">
        <f t="shared" si="6"/>
        <v>1046.6999999999998</v>
      </c>
      <c r="V14" s="482">
        <f t="shared" si="6"/>
        <v>60.900000000000006</v>
      </c>
      <c r="W14" s="472">
        <f>SUM(W15:W29)</f>
        <v>1542.1369</v>
      </c>
      <c r="X14" s="492">
        <f>SUM(X15:X29)</f>
        <v>1482.7769000000001</v>
      </c>
      <c r="Y14" s="492">
        <f>SUM(Y15:Y29)</f>
        <v>59.36</v>
      </c>
      <c r="Z14" s="446"/>
      <c r="AA14" s="446">
        <f>SUM(AA15:AA27)</f>
        <v>0</v>
      </c>
      <c r="AB14" s="322"/>
      <c r="AC14" s="368">
        <f>+'NĂM 2022'!K21+'NĂM 2023'!N22+'NĂM 2024'!J22+'NĂM 2025'!J22</f>
        <v>4512.96</v>
      </c>
      <c r="AD14" s="368">
        <f>+'NĂM 2022'!L21+'NĂM 2023'!O22+'NĂM 2024'!K22+'NĂM 2025'!K22</f>
        <v>4298</v>
      </c>
      <c r="AE14" s="368">
        <f>+'NĂM 2022'!M21+'NĂM 2023'!P22+'NĂM 2024'!L22+'NĂM 2025'!L22</f>
        <v>214.96</v>
      </c>
    </row>
    <row r="15" spans="1:34" s="146" customFormat="1" ht="60">
      <c r="A15" s="141">
        <v>1</v>
      </c>
      <c r="B15" s="325" t="s">
        <v>62</v>
      </c>
      <c r="C15" s="141" t="s">
        <v>63</v>
      </c>
      <c r="D15" s="141"/>
      <c r="E15" s="141" t="s">
        <v>64</v>
      </c>
      <c r="F15" s="141" t="s">
        <v>52</v>
      </c>
      <c r="G15" s="447">
        <f>H15+I15</f>
        <v>270.79999999999995</v>
      </c>
      <c r="H15" s="447">
        <v>257.89999999999998</v>
      </c>
      <c r="I15" s="473">
        <v>12.9</v>
      </c>
      <c r="J15" s="448"/>
      <c r="K15" s="466">
        <f>+N15</f>
        <v>270.79999999999995</v>
      </c>
      <c r="L15" s="448">
        <f t="shared" ref="L15:M15" si="7">+O15</f>
        <v>257.89999999999998</v>
      </c>
      <c r="M15" s="448">
        <f t="shared" si="7"/>
        <v>12.9</v>
      </c>
      <c r="N15" s="445">
        <f t="shared" ref="N15:N88" si="8">O15+P15</f>
        <v>270.79999999999995</v>
      </c>
      <c r="O15" s="447">
        <v>257.89999999999998</v>
      </c>
      <c r="P15" s="447">
        <v>12.9</v>
      </c>
      <c r="Q15" s="447"/>
      <c r="R15" s="481"/>
      <c r="S15" s="481"/>
      <c r="T15" s="447"/>
      <c r="U15" s="481"/>
      <c r="V15" s="481"/>
      <c r="W15" s="447"/>
      <c r="X15" s="481"/>
      <c r="Y15" s="481"/>
      <c r="Z15" s="447"/>
      <c r="AA15" s="448"/>
      <c r="AB15" s="145"/>
      <c r="AC15" s="471">
        <f>+G14-K14</f>
        <v>1542.1369000000004</v>
      </c>
      <c r="AD15" s="471">
        <f>+H14-L14</f>
        <v>1482.7768999999998</v>
      </c>
      <c r="AE15" s="471">
        <f>+I14-M14</f>
        <v>59.360000000000014</v>
      </c>
    </row>
    <row r="16" spans="1:34" s="146" customFormat="1" ht="45">
      <c r="A16" s="141">
        <f>+A15+1</f>
        <v>2</v>
      </c>
      <c r="B16" s="325" t="s">
        <v>65</v>
      </c>
      <c r="C16" s="141" t="s">
        <v>66</v>
      </c>
      <c r="D16" s="141"/>
      <c r="E16" s="141" t="s">
        <v>67</v>
      </c>
      <c r="F16" s="141" t="s">
        <v>52</v>
      </c>
      <c r="G16" s="447">
        <f>H16+I16</f>
        <v>270.74</v>
      </c>
      <c r="H16" s="447">
        <v>257.85000000000002</v>
      </c>
      <c r="I16" s="473">
        <v>12.89</v>
      </c>
      <c r="J16" s="448"/>
      <c r="K16" s="466">
        <f t="shared" ref="K16:K17" si="9">+N16</f>
        <v>270.74</v>
      </c>
      <c r="L16" s="448">
        <f t="shared" ref="L16:L17" si="10">+O16</f>
        <v>257.85000000000002</v>
      </c>
      <c r="M16" s="448">
        <f t="shared" ref="M16:M17" si="11">+P16</f>
        <v>12.89</v>
      </c>
      <c r="N16" s="445">
        <f t="shared" si="8"/>
        <v>270.74</v>
      </c>
      <c r="O16" s="447">
        <v>257.85000000000002</v>
      </c>
      <c r="P16" s="447">
        <v>12.89</v>
      </c>
      <c r="Q16" s="447"/>
      <c r="R16" s="481"/>
      <c r="S16" s="481"/>
      <c r="T16" s="447"/>
      <c r="U16" s="481"/>
      <c r="V16" s="481"/>
      <c r="W16" s="447"/>
      <c r="X16" s="481"/>
      <c r="Y16" s="481"/>
      <c r="Z16" s="447"/>
      <c r="AA16" s="448"/>
      <c r="AB16" s="145"/>
      <c r="AC16" s="523">
        <f>+AC15-W14</f>
        <v>0</v>
      </c>
      <c r="AD16" s="523">
        <f t="shared" ref="AD16:AE16" si="12">+AD15-X14</f>
        <v>0</v>
      </c>
      <c r="AE16" s="523">
        <f t="shared" si="12"/>
        <v>0</v>
      </c>
    </row>
    <row r="17" spans="1:31" s="146" customFormat="1" ht="75">
      <c r="A17" s="141">
        <f t="shared" ref="A17:A29" si="13">+A16+1</f>
        <v>3</v>
      </c>
      <c r="B17" s="325" t="s">
        <v>68</v>
      </c>
      <c r="C17" s="141" t="s">
        <v>69</v>
      </c>
      <c r="D17" s="141"/>
      <c r="E17" s="141" t="s">
        <v>70</v>
      </c>
      <c r="F17" s="141" t="s">
        <v>52</v>
      </c>
      <c r="G17" s="447">
        <f>H17+I17</f>
        <v>270.75</v>
      </c>
      <c r="H17" s="447">
        <v>257.85000000000002</v>
      </c>
      <c r="I17" s="473">
        <v>12.9</v>
      </c>
      <c r="J17" s="448"/>
      <c r="K17" s="466">
        <f t="shared" si="9"/>
        <v>270.75</v>
      </c>
      <c r="L17" s="448">
        <f t="shared" si="10"/>
        <v>257.85000000000002</v>
      </c>
      <c r="M17" s="448">
        <f t="shared" si="11"/>
        <v>12.9</v>
      </c>
      <c r="N17" s="445">
        <f t="shared" si="8"/>
        <v>270.75</v>
      </c>
      <c r="O17" s="447">
        <v>257.85000000000002</v>
      </c>
      <c r="P17" s="447">
        <v>12.9</v>
      </c>
      <c r="Q17" s="447"/>
      <c r="R17" s="481"/>
      <c r="S17" s="481"/>
      <c r="T17" s="447"/>
      <c r="U17" s="481"/>
      <c r="V17" s="481"/>
      <c r="W17" s="447"/>
      <c r="X17" s="481"/>
      <c r="Y17" s="481"/>
      <c r="Z17" s="447"/>
      <c r="AA17" s="448"/>
      <c r="AB17" s="145"/>
      <c r="AC17" s="369"/>
      <c r="AD17" s="369"/>
      <c r="AE17" s="369"/>
    </row>
    <row r="18" spans="1:31" s="146" customFormat="1" ht="60">
      <c r="A18" s="141">
        <f t="shared" si="13"/>
        <v>4</v>
      </c>
      <c r="B18" s="325" t="s">
        <v>71</v>
      </c>
      <c r="C18" s="141" t="s">
        <v>63</v>
      </c>
      <c r="D18" s="141"/>
      <c r="E18" s="141" t="s">
        <v>72</v>
      </c>
      <c r="F18" s="141" t="s">
        <v>53</v>
      </c>
      <c r="G18" s="447">
        <f t="shared" ref="G18:G88" si="14">H18+I18</f>
        <v>525.04999999999995</v>
      </c>
      <c r="H18" s="447">
        <v>500</v>
      </c>
      <c r="I18" s="473">
        <v>25.05</v>
      </c>
      <c r="J18" s="448"/>
      <c r="K18" s="448">
        <f>+Q18+T18</f>
        <v>363.20300000000003</v>
      </c>
      <c r="L18" s="448">
        <f t="shared" ref="L18:M18" si="15">+R18+U18</f>
        <v>344.53300000000002</v>
      </c>
      <c r="M18" s="448">
        <f t="shared" si="15"/>
        <v>18.670000000000002</v>
      </c>
      <c r="N18" s="445">
        <f t="shared" si="8"/>
        <v>0</v>
      </c>
      <c r="O18" s="448"/>
      <c r="P18" s="448"/>
      <c r="Q18" s="448">
        <f>+R18+S18</f>
        <v>363.20300000000003</v>
      </c>
      <c r="R18" s="483">
        <f>345.67-1.137</f>
        <v>344.53300000000002</v>
      </c>
      <c r="S18" s="483">
        <v>18.670000000000002</v>
      </c>
      <c r="T18" s="448"/>
      <c r="U18" s="483"/>
      <c r="V18" s="483"/>
      <c r="W18" s="448"/>
      <c r="X18" s="483"/>
      <c r="Y18" s="483"/>
      <c r="Z18" s="448"/>
      <c r="AA18" s="448"/>
      <c r="AB18" s="145"/>
      <c r="AC18" s="369"/>
      <c r="AD18" s="369"/>
      <c r="AE18" s="369"/>
    </row>
    <row r="19" spans="1:31" s="146" customFormat="1" ht="45">
      <c r="A19" s="141">
        <f t="shared" si="13"/>
        <v>5</v>
      </c>
      <c r="B19" s="325" t="s">
        <v>65</v>
      </c>
      <c r="C19" s="141" t="s">
        <v>66</v>
      </c>
      <c r="D19" s="141"/>
      <c r="E19" s="141" t="s">
        <v>73</v>
      </c>
      <c r="F19" s="141" t="s">
        <v>53</v>
      </c>
      <c r="G19" s="447">
        <f t="shared" si="14"/>
        <v>472.5</v>
      </c>
      <c r="H19" s="447">
        <v>450</v>
      </c>
      <c r="I19" s="473">
        <v>22.5</v>
      </c>
      <c r="J19" s="448"/>
      <c r="K19" s="448">
        <f t="shared" ref="K19:K26" si="16">+Q19+T19</f>
        <v>323.38010000000003</v>
      </c>
      <c r="L19" s="448">
        <f t="shared" ref="L19:L26" si="17">+R19+U19</f>
        <v>304.71010000000001</v>
      </c>
      <c r="M19" s="448">
        <f t="shared" ref="M19:M26" si="18">+S19+V19</f>
        <v>18.670000000000002</v>
      </c>
      <c r="N19" s="445">
        <f t="shared" si="8"/>
        <v>0</v>
      </c>
      <c r="O19" s="448"/>
      <c r="P19" s="448"/>
      <c r="Q19" s="448">
        <f>+R19+S19</f>
        <v>323.38010000000003</v>
      </c>
      <c r="R19" s="483">
        <f>345.68-40.9699</f>
        <v>304.71010000000001</v>
      </c>
      <c r="S19" s="483">
        <v>18.670000000000002</v>
      </c>
      <c r="T19" s="448"/>
      <c r="U19" s="483"/>
      <c r="V19" s="483"/>
      <c r="W19" s="448"/>
      <c r="X19" s="483"/>
      <c r="Y19" s="483"/>
      <c r="Z19" s="448"/>
      <c r="AA19" s="448"/>
      <c r="AB19" s="145"/>
      <c r="AC19" s="369"/>
      <c r="AD19" s="369"/>
      <c r="AE19" s="369"/>
    </row>
    <row r="20" spans="1:31" s="146" customFormat="1" ht="75">
      <c r="A20" s="141">
        <f t="shared" si="13"/>
        <v>6</v>
      </c>
      <c r="B20" s="325" t="s">
        <v>74</v>
      </c>
      <c r="C20" s="141" t="s">
        <v>69</v>
      </c>
      <c r="D20" s="141"/>
      <c r="E20" s="141" t="s">
        <v>75</v>
      </c>
      <c r="F20" s="141" t="s">
        <v>53</v>
      </c>
      <c r="G20" s="447">
        <f t="shared" si="14"/>
        <v>525</v>
      </c>
      <c r="H20" s="447">
        <v>500</v>
      </c>
      <c r="I20" s="473">
        <v>25</v>
      </c>
      <c r="J20" s="448"/>
      <c r="K20" s="448">
        <f t="shared" si="16"/>
        <v>364.35</v>
      </c>
      <c r="L20" s="448">
        <f t="shared" si="17"/>
        <v>345.68</v>
      </c>
      <c r="M20" s="448">
        <f t="shared" si="18"/>
        <v>18.670000000000002</v>
      </c>
      <c r="N20" s="445">
        <f t="shared" si="8"/>
        <v>0</v>
      </c>
      <c r="O20" s="448"/>
      <c r="P20" s="448"/>
      <c r="Q20" s="448">
        <f>+R20+S20</f>
        <v>364.35</v>
      </c>
      <c r="R20" s="483">
        <v>345.68</v>
      </c>
      <c r="S20" s="483">
        <v>18.670000000000002</v>
      </c>
      <c r="T20" s="448"/>
      <c r="U20" s="483"/>
      <c r="V20" s="483"/>
      <c r="W20" s="448"/>
      <c r="X20" s="483"/>
      <c r="Y20" s="483"/>
      <c r="Z20" s="448"/>
      <c r="AA20" s="448"/>
      <c r="AB20" s="145"/>
      <c r="AC20" s="369"/>
      <c r="AD20" s="369"/>
      <c r="AE20" s="369"/>
    </row>
    <row r="21" spans="1:31" s="146" customFormat="1" ht="45">
      <c r="A21" s="141">
        <f t="shared" si="13"/>
        <v>7</v>
      </c>
      <c r="B21" s="325" t="s">
        <v>76</v>
      </c>
      <c r="C21" s="141" t="s">
        <v>63</v>
      </c>
      <c r="D21" s="141"/>
      <c r="E21" s="150" t="s">
        <v>77</v>
      </c>
      <c r="F21" s="141" t="s">
        <v>78</v>
      </c>
      <c r="G21" s="447">
        <f t="shared" si="14"/>
        <v>472.5</v>
      </c>
      <c r="H21" s="447">
        <v>450</v>
      </c>
      <c r="I21" s="473">
        <v>22.5</v>
      </c>
      <c r="J21" s="448"/>
      <c r="K21" s="448">
        <f t="shared" si="16"/>
        <v>369.2</v>
      </c>
      <c r="L21" s="448">
        <f t="shared" si="17"/>
        <v>348.9</v>
      </c>
      <c r="M21" s="448">
        <f t="shared" si="18"/>
        <v>20.3</v>
      </c>
      <c r="N21" s="445">
        <f t="shared" si="8"/>
        <v>0</v>
      </c>
      <c r="O21" s="448"/>
      <c r="P21" s="448"/>
      <c r="Q21" s="448"/>
      <c r="R21" s="483"/>
      <c r="S21" s="483"/>
      <c r="T21" s="448">
        <f>+U21+V21</f>
        <v>369.2</v>
      </c>
      <c r="U21" s="483">
        <v>348.9</v>
      </c>
      <c r="V21" s="483">
        <v>20.3</v>
      </c>
      <c r="W21" s="448"/>
      <c r="X21" s="483"/>
      <c r="Y21" s="483"/>
      <c r="Z21" s="448"/>
      <c r="AA21" s="448"/>
      <c r="AB21" s="145"/>
      <c r="AC21" s="369"/>
      <c r="AD21" s="369"/>
      <c r="AE21" s="369"/>
    </row>
    <row r="22" spans="1:31" s="146" customFormat="1" ht="75">
      <c r="A22" s="141">
        <f t="shared" si="13"/>
        <v>8</v>
      </c>
      <c r="B22" s="325" t="s">
        <v>79</v>
      </c>
      <c r="C22" s="141" t="s">
        <v>66</v>
      </c>
      <c r="D22" s="141"/>
      <c r="E22" s="141" t="s">
        <v>80</v>
      </c>
      <c r="F22" s="141" t="s">
        <v>54</v>
      </c>
      <c r="G22" s="447">
        <f t="shared" si="14"/>
        <v>472.5</v>
      </c>
      <c r="H22" s="447">
        <v>450</v>
      </c>
      <c r="I22" s="473">
        <v>22.5</v>
      </c>
      <c r="J22" s="448">
        <v>0</v>
      </c>
      <c r="K22" s="448">
        <f t="shared" si="16"/>
        <v>369.2</v>
      </c>
      <c r="L22" s="448">
        <f t="shared" si="17"/>
        <v>348.9</v>
      </c>
      <c r="M22" s="448">
        <f t="shared" si="18"/>
        <v>20.3</v>
      </c>
      <c r="N22" s="445">
        <f t="shared" si="8"/>
        <v>0</v>
      </c>
      <c r="O22" s="448"/>
      <c r="P22" s="448"/>
      <c r="Q22" s="448"/>
      <c r="R22" s="483"/>
      <c r="S22" s="483"/>
      <c r="T22" s="448">
        <f>+U22+V22</f>
        <v>369.2</v>
      </c>
      <c r="U22" s="483">
        <v>348.9</v>
      </c>
      <c r="V22" s="483">
        <v>20.3</v>
      </c>
      <c r="W22" s="448"/>
      <c r="X22" s="483"/>
      <c r="Y22" s="483"/>
      <c r="Z22" s="448"/>
      <c r="AA22" s="448"/>
      <c r="AB22" s="145"/>
      <c r="AC22" s="369">
        <f>+G14-K14</f>
        <v>1542.1369000000004</v>
      </c>
      <c r="AD22" s="369"/>
      <c r="AE22" s="369"/>
    </row>
    <row r="23" spans="1:31" s="146" customFormat="1" ht="60">
      <c r="A23" s="141">
        <f t="shared" si="13"/>
        <v>9</v>
      </c>
      <c r="B23" s="325" t="s">
        <v>1104</v>
      </c>
      <c r="C23" s="141" t="s">
        <v>69</v>
      </c>
      <c r="D23" s="141"/>
      <c r="E23" s="141" t="s">
        <v>89</v>
      </c>
      <c r="F23" s="141" t="s">
        <v>55</v>
      </c>
      <c r="G23" s="447">
        <f>H23+I23</f>
        <v>288.54000000000002</v>
      </c>
      <c r="H23" s="447">
        <v>274.8</v>
      </c>
      <c r="I23" s="473">
        <v>13.74</v>
      </c>
      <c r="J23" s="448"/>
      <c r="K23" s="448">
        <f>+Q23+T23</f>
        <v>369.2</v>
      </c>
      <c r="L23" s="448">
        <f>+R23+U23</f>
        <v>348.9</v>
      </c>
      <c r="M23" s="448">
        <f>+S23+V23</f>
        <v>20.3</v>
      </c>
      <c r="N23" s="445">
        <f>O23+P23</f>
        <v>0</v>
      </c>
      <c r="O23" s="448"/>
      <c r="P23" s="448"/>
      <c r="Q23" s="448"/>
      <c r="R23" s="483"/>
      <c r="S23" s="483"/>
      <c r="T23" s="448">
        <f>+U23+V23</f>
        <v>369.2</v>
      </c>
      <c r="U23" s="483">
        <v>348.9</v>
      </c>
      <c r="V23" s="483">
        <v>20.3</v>
      </c>
      <c r="W23" s="448"/>
      <c r="X23" s="483"/>
      <c r="Y23" s="483"/>
      <c r="Z23" s="448"/>
      <c r="AA23" s="448"/>
      <c r="AB23" s="145"/>
      <c r="AC23" s="465">
        <f>+W14-AC22</f>
        <v>0</v>
      </c>
      <c r="AD23" s="369"/>
      <c r="AE23" s="369"/>
    </row>
    <row r="24" spans="1:31" s="146" customFormat="1" ht="45">
      <c r="A24" s="141">
        <f t="shared" si="13"/>
        <v>10</v>
      </c>
      <c r="B24" s="325" t="s">
        <v>82</v>
      </c>
      <c r="C24" s="141" t="s">
        <v>63</v>
      </c>
      <c r="D24" s="141"/>
      <c r="E24" s="141" t="s">
        <v>83</v>
      </c>
      <c r="F24" s="141" t="s">
        <v>55</v>
      </c>
      <c r="G24" s="447">
        <f t="shared" si="14"/>
        <v>105</v>
      </c>
      <c r="H24" s="447">
        <v>100</v>
      </c>
      <c r="I24" s="473">
        <v>5</v>
      </c>
      <c r="J24" s="448"/>
      <c r="K24" s="448">
        <f t="shared" si="16"/>
        <v>0</v>
      </c>
      <c r="L24" s="448">
        <f t="shared" si="17"/>
        <v>0</v>
      </c>
      <c r="M24" s="448">
        <f t="shared" si="18"/>
        <v>0</v>
      </c>
      <c r="N24" s="445">
        <f t="shared" si="8"/>
        <v>0</v>
      </c>
      <c r="O24" s="448"/>
      <c r="P24" s="448"/>
      <c r="Q24" s="448"/>
      <c r="R24" s="483"/>
      <c r="S24" s="483"/>
      <c r="T24" s="448"/>
      <c r="U24" s="483"/>
      <c r="V24" s="483"/>
      <c r="W24" s="448">
        <f t="shared" ref="W24:W29" si="19">+X24+Y24</f>
        <v>106.137</v>
      </c>
      <c r="X24" s="483">
        <f>100+1.137</f>
        <v>101.137</v>
      </c>
      <c r="Y24" s="483">
        <v>5</v>
      </c>
      <c r="Z24" s="448"/>
      <c r="AA24" s="448"/>
      <c r="AB24" s="145"/>
      <c r="AC24" s="369"/>
      <c r="AD24" s="369"/>
      <c r="AE24" s="369"/>
    </row>
    <row r="25" spans="1:31" s="146" customFormat="1" ht="60">
      <c r="A25" s="141">
        <f t="shared" si="13"/>
        <v>11</v>
      </c>
      <c r="B25" s="325" t="s">
        <v>84</v>
      </c>
      <c r="C25" s="141" t="s">
        <v>63</v>
      </c>
      <c r="D25" s="141"/>
      <c r="E25" s="141" t="s">
        <v>85</v>
      </c>
      <c r="F25" s="141" t="s">
        <v>55</v>
      </c>
      <c r="G25" s="447">
        <f t="shared" si="14"/>
        <v>131.04</v>
      </c>
      <c r="H25" s="447">
        <v>124.8</v>
      </c>
      <c r="I25" s="473">
        <v>6.24</v>
      </c>
      <c r="J25" s="448"/>
      <c r="K25" s="448">
        <f t="shared" si="16"/>
        <v>0</v>
      </c>
      <c r="L25" s="448">
        <f t="shared" si="17"/>
        <v>0</v>
      </c>
      <c r="M25" s="448">
        <f t="shared" si="18"/>
        <v>0</v>
      </c>
      <c r="N25" s="445">
        <f t="shared" si="8"/>
        <v>0</v>
      </c>
      <c r="O25" s="448"/>
      <c r="P25" s="448"/>
      <c r="Q25" s="448"/>
      <c r="R25" s="483"/>
      <c r="S25" s="483"/>
      <c r="T25" s="448"/>
      <c r="U25" s="483"/>
      <c r="V25" s="483"/>
      <c r="W25" s="448">
        <f t="shared" si="19"/>
        <v>131.05000000000001</v>
      </c>
      <c r="X25" s="483">
        <v>124.81</v>
      </c>
      <c r="Y25" s="483">
        <v>6.24</v>
      </c>
      <c r="Z25" s="448"/>
      <c r="AA25" s="448"/>
      <c r="AB25" s="145"/>
      <c r="AC25" s="369"/>
      <c r="AD25" s="369"/>
      <c r="AE25" s="369"/>
    </row>
    <row r="26" spans="1:31" s="146" customFormat="1" ht="45">
      <c r="A26" s="141">
        <f t="shared" si="13"/>
        <v>12</v>
      </c>
      <c r="B26" s="325" t="s">
        <v>86</v>
      </c>
      <c r="C26" s="141" t="s">
        <v>66</v>
      </c>
      <c r="D26" s="141"/>
      <c r="E26" s="141" t="s">
        <v>87</v>
      </c>
      <c r="F26" s="141" t="s">
        <v>55</v>
      </c>
      <c r="G26" s="447">
        <f t="shared" si="14"/>
        <v>288.54000000000002</v>
      </c>
      <c r="H26" s="447">
        <v>274.8</v>
      </c>
      <c r="I26" s="473">
        <v>13.74</v>
      </c>
      <c r="J26" s="448">
        <v>0</v>
      </c>
      <c r="K26" s="448">
        <f t="shared" si="16"/>
        <v>0</v>
      </c>
      <c r="L26" s="448">
        <f t="shared" si="17"/>
        <v>0</v>
      </c>
      <c r="M26" s="448">
        <f t="shared" si="18"/>
        <v>0</v>
      </c>
      <c r="N26" s="445">
        <f t="shared" si="8"/>
        <v>0</v>
      </c>
      <c r="O26" s="448"/>
      <c r="P26" s="448"/>
      <c r="Q26" s="448"/>
      <c r="R26" s="483"/>
      <c r="S26" s="483"/>
      <c r="T26" s="448"/>
      <c r="U26" s="483"/>
      <c r="V26" s="483"/>
      <c r="W26" s="448">
        <f t="shared" si="19"/>
        <v>288.54000000000002</v>
      </c>
      <c r="X26" s="483">
        <v>274.8</v>
      </c>
      <c r="Y26" s="483">
        <v>13.74</v>
      </c>
      <c r="Z26" s="448"/>
      <c r="AA26" s="448"/>
      <c r="AB26" s="145"/>
      <c r="AC26" s="369"/>
      <c r="AD26" s="369"/>
      <c r="AE26" s="369"/>
    </row>
    <row r="27" spans="1:31" s="146" customFormat="1" ht="75">
      <c r="A27" s="141">
        <f t="shared" si="13"/>
        <v>13</v>
      </c>
      <c r="B27" s="325" t="s">
        <v>1164</v>
      </c>
      <c r="C27" s="141" t="s">
        <v>69</v>
      </c>
      <c r="D27" s="141"/>
      <c r="E27" s="141" t="s">
        <v>70</v>
      </c>
      <c r="F27" s="141" t="s">
        <v>55</v>
      </c>
      <c r="G27" s="447">
        <f t="shared" ref="G27" si="20">H27+I27</f>
        <v>420</v>
      </c>
      <c r="H27" s="447">
        <v>400</v>
      </c>
      <c r="I27" s="473">
        <v>20</v>
      </c>
      <c r="J27" s="448"/>
      <c r="K27" s="448">
        <f t="shared" ref="K27" si="21">+Q27+T27</f>
        <v>0</v>
      </c>
      <c r="L27" s="448">
        <f t="shared" ref="L27" si="22">+R27+U27</f>
        <v>0</v>
      </c>
      <c r="M27" s="448">
        <f t="shared" ref="M27" si="23">+S27+V27</f>
        <v>0</v>
      </c>
      <c r="N27" s="445">
        <f t="shared" ref="N27" si="24">O27+P27</f>
        <v>0</v>
      </c>
      <c r="O27" s="448"/>
      <c r="P27" s="448"/>
      <c r="Q27" s="448"/>
      <c r="R27" s="483"/>
      <c r="S27" s="483"/>
      <c r="T27" s="448"/>
      <c r="U27" s="483"/>
      <c r="V27" s="483"/>
      <c r="W27" s="448">
        <f t="shared" si="19"/>
        <v>499.99</v>
      </c>
      <c r="X27" s="483">
        <v>480.22</v>
      </c>
      <c r="Y27" s="483">
        <v>19.77</v>
      </c>
      <c r="Z27" s="448"/>
      <c r="AA27" s="448"/>
      <c r="AB27" s="145"/>
      <c r="AC27" s="369"/>
      <c r="AD27" s="369"/>
      <c r="AE27" s="369"/>
    </row>
    <row r="28" spans="1:31" s="146" customFormat="1" ht="45">
      <c r="A28" s="141">
        <f t="shared" si="13"/>
        <v>14</v>
      </c>
      <c r="B28" s="467" t="s">
        <v>1108</v>
      </c>
      <c r="C28" s="148" t="s">
        <v>63</v>
      </c>
      <c r="D28" s="148"/>
      <c r="E28" s="148"/>
      <c r="F28" s="148" t="s">
        <v>55</v>
      </c>
      <c r="G28" s="468"/>
      <c r="H28" s="468"/>
      <c r="I28" s="468"/>
      <c r="J28" s="469"/>
      <c r="K28" s="469"/>
      <c r="L28" s="469"/>
      <c r="M28" s="469"/>
      <c r="N28" s="505"/>
      <c r="O28" s="469"/>
      <c r="P28" s="469"/>
      <c r="Q28" s="469"/>
      <c r="R28" s="484"/>
      <c r="S28" s="484"/>
      <c r="T28" s="469"/>
      <c r="U28" s="484"/>
      <c r="V28" s="484"/>
      <c r="W28" s="469">
        <f t="shared" si="19"/>
        <v>264</v>
      </c>
      <c r="X28" s="484">
        <v>255.42</v>
      </c>
      <c r="Y28" s="484">
        <v>8.58</v>
      </c>
      <c r="Z28" s="469"/>
      <c r="AA28" s="469"/>
      <c r="AB28" s="470"/>
      <c r="AC28" s="369"/>
      <c r="AD28" s="369"/>
      <c r="AE28" s="369"/>
    </row>
    <row r="29" spans="1:31" s="146" customFormat="1" ht="50.25" customHeight="1">
      <c r="A29" s="141">
        <f t="shared" si="13"/>
        <v>15</v>
      </c>
      <c r="B29" s="467" t="s">
        <v>1109</v>
      </c>
      <c r="C29" s="148" t="s">
        <v>66</v>
      </c>
      <c r="D29" s="148"/>
      <c r="E29" s="148"/>
      <c r="F29" s="148" t="s">
        <v>55</v>
      </c>
      <c r="G29" s="468"/>
      <c r="H29" s="468"/>
      <c r="I29" s="468"/>
      <c r="J29" s="469"/>
      <c r="K29" s="469"/>
      <c r="L29" s="469"/>
      <c r="M29" s="469"/>
      <c r="N29" s="505"/>
      <c r="O29" s="469"/>
      <c r="P29" s="469"/>
      <c r="Q29" s="469"/>
      <c r="R29" s="484"/>
      <c r="S29" s="484"/>
      <c r="T29" s="469"/>
      <c r="U29" s="484"/>
      <c r="V29" s="484"/>
      <c r="W29" s="469">
        <f t="shared" si="19"/>
        <v>252.41989999999998</v>
      </c>
      <c r="X29" s="484">
        <f>205.42+40.9699</f>
        <v>246.38989999999998</v>
      </c>
      <c r="Y29" s="484">
        <v>6.03</v>
      </c>
      <c r="Z29" s="469"/>
      <c r="AA29" s="469"/>
      <c r="AB29" s="470"/>
      <c r="AC29" s="369"/>
      <c r="AD29" s="369"/>
      <c r="AE29" s="369"/>
    </row>
    <row r="30" spans="1:31" s="14" customFormat="1" ht="23.25" customHeight="1">
      <c r="A30" s="4" t="s">
        <v>988</v>
      </c>
      <c r="B30" s="507" t="s">
        <v>91</v>
      </c>
      <c r="C30" s="4"/>
      <c r="D30" s="4"/>
      <c r="E30" s="417">
        <v>0</v>
      </c>
      <c r="F30" s="417"/>
      <c r="G30" s="446">
        <f>SUM(G31:G44)</f>
        <v>10104.68</v>
      </c>
      <c r="H30" s="446">
        <f>SUM(H31:H44)</f>
        <v>9623.51</v>
      </c>
      <c r="I30" s="446">
        <f t="shared" ref="I30:AA30" si="25">SUM(I31:I44)</f>
        <v>481.16999999999996</v>
      </c>
      <c r="J30" s="446">
        <f t="shared" si="25"/>
        <v>0</v>
      </c>
      <c r="K30" s="446">
        <f t="shared" si="25"/>
        <v>6746.67</v>
      </c>
      <c r="L30" s="446">
        <f t="shared" si="25"/>
        <v>6398.2699999999995</v>
      </c>
      <c r="M30" s="446">
        <f t="shared" si="25"/>
        <v>348.4</v>
      </c>
      <c r="N30" s="446">
        <f t="shared" si="25"/>
        <v>1818.67</v>
      </c>
      <c r="O30" s="446">
        <f t="shared" si="25"/>
        <v>1732.07</v>
      </c>
      <c r="P30" s="446">
        <f t="shared" si="25"/>
        <v>86.6</v>
      </c>
      <c r="Q30" s="446">
        <f t="shared" si="25"/>
        <v>2447.4</v>
      </c>
      <c r="R30" s="482">
        <f t="shared" si="25"/>
        <v>2322</v>
      </c>
      <c r="S30" s="482">
        <f t="shared" si="25"/>
        <v>125.4</v>
      </c>
      <c r="T30" s="446">
        <f t="shared" si="25"/>
        <v>2480.6000000000004</v>
      </c>
      <c r="U30" s="482">
        <f t="shared" si="25"/>
        <v>2344.1999999999998</v>
      </c>
      <c r="V30" s="482">
        <f t="shared" si="25"/>
        <v>136.39999999999998</v>
      </c>
      <c r="W30" s="446">
        <f t="shared" si="25"/>
        <v>3358.01</v>
      </c>
      <c r="X30" s="482">
        <f t="shared" si="25"/>
        <v>3225.24</v>
      </c>
      <c r="Y30" s="482">
        <f t="shared" si="25"/>
        <v>132.76999999999998</v>
      </c>
      <c r="Z30" s="446"/>
      <c r="AA30" s="446">
        <f t="shared" si="25"/>
        <v>0</v>
      </c>
      <c r="AB30" s="16"/>
      <c r="AC30" s="368">
        <f>+'NĂM 2022'!K25+'NĂM 2023'!N26+'NĂM 2024'!J26+'NĂM 2025'!J27</f>
        <v>10104.68</v>
      </c>
      <c r="AD30" s="368">
        <f>+'NĂM 2022'!L25+'NĂM 2023'!O26+'NĂM 2024'!K26+'NĂM 2025'!K27</f>
        <v>9623.51</v>
      </c>
      <c r="AE30" s="368">
        <f>+'NĂM 2022'!M25+'NĂM 2023'!P26+'NĂM 2024'!L26+'NĂM 2025'!L27</f>
        <v>481.16999999999996</v>
      </c>
    </row>
    <row r="31" spans="1:31" s="146" customFormat="1" ht="75" hidden="1">
      <c r="A31" s="141">
        <v>1</v>
      </c>
      <c r="B31" s="325" t="s">
        <v>92</v>
      </c>
      <c r="C31" s="141" t="s">
        <v>93</v>
      </c>
      <c r="D31" s="141"/>
      <c r="E31" s="141" t="s">
        <v>94</v>
      </c>
      <c r="F31" s="141" t="s">
        <v>52</v>
      </c>
      <c r="G31" s="447">
        <f t="shared" si="14"/>
        <v>462</v>
      </c>
      <c r="H31" s="447">
        <v>440</v>
      </c>
      <c r="I31" s="447">
        <v>22</v>
      </c>
      <c r="J31" s="448">
        <v>0</v>
      </c>
      <c r="K31" s="448">
        <f>+N31+Q31+T31</f>
        <v>462</v>
      </c>
      <c r="L31" s="448">
        <f t="shared" ref="L31:M31" si="26">+O31+R31+U31</f>
        <v>440</v>
      </c>
      <c r="M31" s="448">
        <f t="shared" si="26"/>
        <v>22</v>
      </c>
      <c r="N31" s="445">
        <f t="shared" si="8"/>
        <v>462</v>
      </c>
      <c r="O31" s="447">
        <v>440</v>
      </c>
      <c r="P31" s="447">
        <v>22</v>
      </c>
      <c r="Q31" s="447"/>
      <c r="R31" s="481"/>
      <c r="S31" s="481"/>
      <c r="T31" s="447"/>
      <c r="U31" s="481"/>
      <c r="V31" s="481"/>
      <c r="W31" s="447"/>
      <c r="X31" s="481"/>
      <c r="Y31" s="481"/>
      <c r="Z31" s="447"/>
      <c r="AA31" s="448"/>
      <c r="AB31" s="145"/>
      <c r="AC31" s="465">
        <f>+G30-K30</f>
        <v>3358.01</v>
      </c>
      <c r="AD31" s="465">
        <f>+H30-L30</f>
        <v>3225.2400000000007</v>
      </c>
      <c r="AE31" s="465">
        <f>+I30-M30</f>
        <v>132.76999999999998</v>
      </c>
    </row>
    <row r="32" spans="1:31" s="146" customFormat="1" ht="75" hidden="1">
      <c r="A32" s="141">
        <v>2</v>
      </c>
      <c r="B32" s="325" t="s">
        <v>95</v>
      </c>
      <c r="C32" s="141" t="s">
        <v>96</v>
      </c>
      <c r="D32" s="141"/>
      <c r="E32" s="141" t="s">
        <v>94</v>
      </c>
      <c r="F32" s="141" t="s">
        <v>52</v>
      </c>
      <c r="G32" s="447">
        <f t="shared" si="14"/>
        <v>462</v>
      </c>
      <c r="H32" s="447">
        <v>440</v>
      </c>
      <c r="I32" s="447">
        <v>22</v>
      </c>
      <c r="J32" s="448">
        <v>0</v>
      </c>
      <c r="K32" s="448">
        <f t="shared" ref="K32:K44" si="27">+N32+Q32+T32</f>
        <v>462</v>
      </c>
      <c r="L32" s="448">
        <f t="shared" ref="L32:L44" si="28">+O32+R32+U32</f>
        <v>440</v>
      </c>
      <c r="M32" s="448">
        <f t="shared" ref="M32:M44" si="29">+P32+S32+V32</f>
        <v>22</v>
      </c>
      <c r="N32" s="445">
        <f t="shared" si="8"/>
        <v>462</v>
      </c>
      <c r="O32" s="447">
        <v>440</v>
      </c>
      <c r="P32" s="447">
        <v>22</v>
      </c>
      <c r="Q32" s="447"/>
      <c r="R32" s="481"/>
      <c r="S32" s="481"/>
      <c r="T32" s="447"/>
      <c r="U32" s="481"/>
      <c r="V32" s="481"/>
      <c r="W32" s="447"/>
      <c r="X32" s="481"/>
      <c r="Y32" s="481"/>
      <c r="Z32" s="447"/>
      <c r="AA32" s="448"/>
      <c r="AB32" s="145"/>
      <c r="AC32" s="369">
        <f>+W30-AC31</f>
        <v>0</v>
      </c>
      <c r="AD32" s="369">
        <f t="shared" ref="AD32:AE32" si="30">+X30-AD31</f>
        <v>0</v>
      </c>
      <c r="AE32" s="369">
        <f t="shared" si="30"/>
        <v>0</v>
      </c>
    </row>
    <row r="33" spans="1:31" s="146" customFormat="1" ht="75" hidden="1">
      <c r="A33" s="141">
        <v>3</v>
      </c>
      <c r="B33" s="325" t="s">
        <v>97</v>
      </c>
      <c r="C33" s="141" t="s">
        <v>98</v>
      </c>
      <c r="D33" s="141"/>
      <c r="E33" s="141" t="s">
        <v>99</v>
      </c>
      <c r="F33" s="141" t="s">
        <v>52</v>
      </c>
      <c r="G33" s="447">
        <f t="shared" si="14"/>
        <v>630</v>
      </c>
      <c r="H33" s="447">
        <v>600</v>
      </c>
      <c r="I33" s="447">
        <v>30</v>
      </c>
      <c r="J33" s="448">
        <v>0</v>
      </c>
      <c r="K33" s="448">
        <f t="shared" si="27"/>
        <v>630</v>
      </c>
      <c r="L33" s="448">
        <f t="shared" si="28"/>
        <v>600</v>
      </c>
      <c r="M33" s="448">
        <f t="shared" si="29"/>
        <v>30</v>
      </c>
      <c r="N33" s="445">
        <f t="shared" si="8"/>
        <v>630</v>
      </c>
      <c r="O33" s="447">
        <v>600</v>
      </c>
      <c r="P33" s="447">
        <v>30</v>
      </c>
      <c r="Q33" s="447"/>
      <c r="R33" s="481"/>
      <c r="S33" s="481"/>
      <c r="T33" s="447"/>
      <c r="U33" s="481"/>
      <c r="V33" s="481"/>
      <c r="W33" s="447"/>
      <c r="X33" s="481"/>
      <c r="Y33" s="481"/>
      <c r="Z33" s="447"/>
      <c r="AA33" s="448"/>
      <c r="AB33" s="145"/>
      <c r="AC33" s="369"/>
      <c r="AD33" s="369"/>
      <c r="AE33" s="369"/>
    </row>
    <row r="34" spans="1:31" s="146" customFormat="1" ht="45" hidden="1">
      <c r="A34" s="141">
        <v>4</v>
      </c>
      <c r="B34" s="325" t="s">
        <v>100</v>
      </c>
      <c r="C34" s="141" t="s">
        <v>93</v>
      </c>
      <c r="D34" s="141"/>
      <c r="E34" s="141" t="s">
        <v>101</v>
      </c>
      <c r="F34" s="141" t="s">
        <v>52</v>
      </c>
      <c r="G34" s="447">
        <f t="shared" si="14"/>
        <v>264.67</v>
      </c>
      <c r="H34" s="447">
        <v>252.07</v>
      </c>
      <c r="I34" s="447">
        <v>12.6</v>
      </c>
      <c r="J34" s="448">
        <v>0</v>
      </c>
      <c r="K34" s="448">
        <f t="shared" si="27"/>
        <v>264.67</v>
      </c>
      <c r="L34" s="448">
        <f t="shared" si="28"/>
        <v>252.07</v>
      </c>
      <c r="M34" s="448">
        <f t="shared" si="29"/>
        <v>12.6</v>
      </c>
      <c r="N34" s="445">
        <f t="shared" si="8"/>
        <v>264.67</v>
      </c>
      <c r="O34" s="447">
        <v>252.07</v>
      </c>
      <c r="P34" s="447">
        <v>12.6</v>
      </c>
      <c r="Q34" s="447"/>
      <c r="R34" s="481"/>
      <c r="S34" s="481"/>
      <c r="T34" s="447"/>
      <c r="U34" s="481"/>
      <c r="V34" s="481"/>
      <c r="W34" s="447"/>
      <c r="X34" s="481"/>
      <c r="Y34" s="481"/>
      <c r="Z34" s="447"/>
      <c r="AA34" s="448"/>
      <c r="AB34" s="145"/>
      <c r="AC34" s="369"/>
      <c r="AD34" s="369"/>
      <c r="AE34" s="369"/>
    </row>
    <row r="35" spans="1:31" s="146" customFormat="1" ht="75" hidden="1">
      <c r="A35" s="141">
        <v>5</v>
      </c>
      <c r="B35" s="325" t="s">
        <v>102</v>
      </c>
      <c r="C35" s="134" t="s">
        <v>115</v>
      </c>
      <c r="D35" s="141"/>
      <c r="E35" s="141" t="s">
        <v>94</v>
      </c>
      <c r="F35" s="141" t="s">
        <v>53</v>
      </c>
      <c r="G35" s="447">
        <f t="shared" si="14"/>
        <v>462</v>
      </c>
      <c r="H35" s="447">
        <v>440</v>
      </c>
      <c r="I35" s="447">
        <v>22</v>
      </c>
      <c r="J35" s="448">
        <v>0</v>
      </c>
      <c r="K35" s="448">
        <f t="shared" si="27"/>
        <v>462</v>
      </c>
      <c r="L35" s="448">
        <f t="shared" si="28"/>
        <v>440</v>
      </c>
      <c r="M35" s="448">
        <f t="shared" si="29"/>
        <v>22</v>
      </c>
      <c r="N35" s="445">
        <f t="shared" si="8"/>
        <v>0</v>
      </c>
      <c r="O35" s="448"/>
      <c r="P35" s="448"/>
      <c r="Q35" s="448">
        <f>+R35+S35</f>
        <v>462</v>
      </c>
      <c r="R35" s="483">
        <v>440</v>
      </c>
      <c r="S35" s="483">
        <v>22</v>
      </c>
      <c r="T35" s="448"/>
      <c r="U35" s="483"/>
      <c r="V35" s="483"/>
      <c r="W35" s="448"/>
      <c r="X35" s="483"/>
      <c r="Y35" s="483"/>
      <c r="Z35" s="448"/>
      <c r="AA35" s="448"/>
      <c r="AB35" s="145"/>
      <c r="AC35" s="369"/>
      <c r="AD35" s="369"/>
      <c r="AE35" s="369"/>
    </row>
    <row r="36" spans="1:31" s="146" customFormat="1" ht="75" hidden="1">
      <c r="A36" s="141">
        <v>6</v>
      </c>
      <c r="B36" s="325" t="s">
        <v>103</v>
      </c>
      <c r="C36" s="141" t="s">
        <v>96</v>
      </c>
      <c r="D36" s="141"/>
      <c r="E36" s="141" t="s">
        <v>104</v>
      </c>
      <c r="F36" s="141" t="s">
        <v>53</v>
      </c>
      <c r="G36" s="447">
        <f t="shared" si="14"/>
        <v>735</v>
      </c>
      <c r="H36" s="447">
        <v>700</v>
      </c>
      <c r="I36" s="447">
        <v>35</v>
      </c>
      <c r="J36" s="448">
        <v>0</v>
      </c>
      <c r="K36" s="448">
        <f t="shared" si="27"/>
        <v>735</v>
      </c>
      <c r="L36" s="448">
        <f t="shared" si="28"/>
        <v>700</v>
      </c>
      <c r="M36" s="448">
        <f t="shared" si="29"/>
        <v>35</v>
      </c>
      <c r="N36" s="445">
        <f t="shared" si="8"/>
        <v>0</v>
      </c>
      <c r="O36" s="448"/>
      <c r="P36" s="448"/>
      <c r="Q36" s="448">
        <f>+R36+S36</f>
        <v>735</v>
      </c>
      <c r="R36" s="483">
        <v>700</v>
      </c>
      <c r="S36" s="483">
        <v>35</v>
      </c>
      <c r="T36" s="448"/>
      <c r="U36" s="483"/>
      <c r="V36" s="483"/>
      <c r="W36" s="448"/>
      <c r="X36" s="483"/>
      <c r="Y36" s="483"/>
      <c r="Z36" s="448"/>
      <c r="AA36" s="448"/>
      <c r="AB36" s="145"/>
      <c r="AC36" s="369"/>
      <c r="AD36" s="369"/>
      <c r="AE36" s="369"/>
    </row>
    <row r="37" spans="1:31" s="146" customFormat="1" ht="75" hidden="1">
      <c r="A37" s="141">
        <v>7</v>
      </c>
      <c r="B37" s="325" t="s">
        <v>105</v>
      </c>
      <c r="C37" s="141" t="s">
        <v>106</v>
      </c>
      <c r="D37" s="141"/>
      <c r="E37" s="141" t="s">
        <v>107</v>
      </c>
      <c r="F37" s="141" t="s">
        <v>53</v>
      </c>
      <c r="G37" s="447">
        <f t="shared" si="14"/>
        <v>1470</v>
      </c>
      <c r="H37" s="447">
        <v>1400</v>
      </c>
      <c r="I37" s="447">
        <v>70</v>
      </c>
      <c r="J37" s="448">
        <v>0</v>
      </c>
      <c r="K37" s="448">
        <f t="shared" si="27"/>
        <v>1250.4000000000001</v>
      </c>
      <c r="L37" s="448">
        <f t="shared" si="28"/>
        <v>1182</v>
      </c>
      <c r="M37" s="448">
        <f t="shared" si="29"/>
        <v>68.400000000000006</v>
      </c>
      <c r="N37" s="445">
        <f t="shared" si="8"/>
        <v>0</v>
      </c>
      <c r="O37" s="448"/>
      <c r="P37" s="448"/>
      <c r="Q37" s="448">
        <f>+R37+S37</f>
        <v>1250.4000000000001</v>
      </c>
      <c r="R37" s="483">
        <v>1182</v>
      </c>
      <c r="S37" s="483">
        <v>68.400000000000006</v>
      </c>
      <c r="T37" s="448"/>
      <c r="U37" s="483"/>
      <c r="V37" s="483"/>
      <c r="W37" s="448"/>
      <c r="X37" s="483"/>
      <c r="Y37" s="483"/>
      <c r="Z37" s="448"/>
      <c r="AA37" s="448"/>
      <c r="AB37" s="145"/>
      <c r="AC37" s="369"/>
      <c r="AD37" s="369"/>
      <c r="AE37" s="369"/>
    </row>
    <row r="38" spans="1:31" s="146" customFormat="1" ht="75" hidden="1">
      <c r="A38" s="141">
        <v>8</v>
      </c>
      <c r="B38" s="325" t="s">
        <v>108</v>
      </c>
      <c r="C38" s="141" t="s">
        <v>109</v>
      </c>
      <c r="D38" s="141"/>
      <c r="E38" s="141" t="s">
        <v>110</v>
      </c>
      <c r="F38" s="141" t="s">
        <v>54</v>
      </c>
      <c r="G38" s="447">
        <f t="shared" si="14"/>
        <v>810.0100000000001</v>
      </c>
      <c r="H38" s="447">
        <v>771.44</v>
      </c>
      <c r="I38" s="447">
        <v>38.57</v>
      </c>
      <c r="J38" s="448">
        <v>0</v>
      </c>
      <c r="K38" s="448">
        <f t="shared" si="27"/>
        <v>628.80000000000007</v>
      </c>
      <c r="L38" s="448">
        <f t="shared" si="28"/>
        <v>594.20000000000005</v>
      </c>
      <c r="M38" s="448">
        <f t="shared" si="29"/>
        <v>34.6</v>
      </c>
      <c r="N38" s="445">
        <f t="shared" si="8"/>
        <v>0</v>
      </c>
      <c r="O38" s="448"/>
      <c r="P38" s="448"/>
      <c r="Q38" s="448"/>
      <c r="R38" s="483"/>
      <c r="S38" s="483"/>
      <c r="T38" s="448">
        <f>+U38+V38</f>
        <v>628.80000000000007</v>
      </c>
      <c r="U38" s="483">
        <v>594.20000000000005</v>
      </c>
      <c r="V38" s="483">
        <v>34.6</v>
      </c>
      <c r="W38" s="448"/>
      <c r="X38" s="483"/>
      <c r="Y38" s="483"/>
      <c r="Z38" s="448"/>
      <c r="AA38" s="448"/>
      <c r="AB38" s="145"/>
      <c r="AC38" s="369"/>
      <c r="AD38" s="369"/>
      <c r="AE38" s="369"/>
    </row>
    <row r="39" spans="1:31" s="146" customFormat="1" ht="75" hidden="1">
      <c r="A39" s="141">
        <v>9</v>
      </c>
      <c r="B39" s="325" t="s">
        <v>111</v>
      </c>
      <c r="C39" s="141" t="s">
        <v>93</v>
      </c>
      <c r="D39" s="141"/>
      <c r="E39" s="141" t="s">
        <v>110</v>
      </c>
      <c r="F39" s="141" t="s">
        <v>54</v>
      </c>
      <c r="G39" s="447">
        <f t="shared" si="14"/>
        <v>714</v>
      </c>
      <c r="H39" s="447">
        <v>680</v>
      </c>
      <c r="I39" s="447">
        <v>34</v>
      </c>
      <c r="J39" s="448">
        <v>0</v>
      </c>
      <c r="K39" s="448">
        <f t="shared" si="27"/>
        <v>476.1</v>
      </c>
      <c r="L39" s="448">
        <f t="shared" si="28"/>
        <v>450</v>
      </c>
      <c r="M39" s="448">
        <f t="shared" si="29"/>
        <v>26.1</v>
      </c>
      <c r="N39" s="445">
        <f t="shared" si="8"/>
        <v>0</v>
      </c>
      <c r="O39" s="448"/>
      <c r="P39" s="448"/>
      <c r="Q39" s="448"/>
      <c r="R39" s="483"/>
      <c r="S39" s="483"/>
      <c r="T39" s="448">
        <f>+U39+V39</f>
        <v>476.1</v>
      </c>
      <c r="U39" s="483">
        <v>450</v>
      </c>
      <c r="V39" s="483">
        <v>26.1</v>
      </c>
      <c r="W39" s="448"/>
      <c r="X39" s="483"/>
      <c r="Y39" s="483"/>
      <c r="Z39" s="448"/>
      <c r="AA39" s="448"/>
      <c r="AB39" s="145"/>
      <c r="AC39" s="369"/>
      <c r="AD39" s="369"/>
      <c r="AE39" s="369"/>
    </row>
    <row r="40" spans="1:31" s="149" customFormat="1" ht="48" hidden="1" customHeight="1">
      <c r="A40" s="135">
        <v>10</v>
      </c>
      <c r="B40" s="327" t="s">
        <v>793</v>
      </c>
      <c r="C40" s="135" t="s">
        <v>794</v>
      </c>
      <c r="D40" s="135"/>
      <c r="E40" s="135" t="s">
        <v>795</v>
      </c>
      <c r="F40" s="135" t="s">
        <v>54</v>
      </c>
      <c r="G40" s="449">
        <f>H40+I40</f>
        <v>367.5</v>
      </c>
      <c r="H40" s="449">
        <v>350</v>
      </c>
      <c r="I40" s="449">
        <v>17.5</v>
      </c>
      <c r="J40" s="450"/>
      <c r="K40" s="448">
        <f t="shared" si="27"/>
        <v>370.4</v>
      </c>
      <c r="L40" s="448">
        <f t="shared" si="28"/>
        <v>350</v>
      </c>
      <c r="M40" s="448">
        <f t="shared" si="29"/>
        <v>20.399999999999999</v>
      </c>
      <c r="N40" s="505">
        <f t="shared" si="8"/>
        <v>0</v>
      </c>
      <c r="O40" s="450"/>
      <c r="P40" s="450"/>
      <c r="Q40" s="450"/>
      <c r="R40" s="484"/>
      <c r="S40" s="484"/>
      <c r="T40" s="448">
        <f>+U40+V40</f>
        <v>370.4</v>
      </c>
      <c r="U40" s="484">
        <v>350</v>
      </c>
      <c r="V40" s="484">
        <v>20.399999999999999</v>
      </c>
      <c r="W40" s="450"/>
      <c r="X40" s="484"/>
      <c r="Y40" s="484"/>
      <c r="Z40" s="450"/>
      <c r="AA40" s="450"/>
      <c r="AB40" s="138"/>
      <c r="AC40" s="370"/>
      <c r="AD40" s="370"/>
      <c r="AE40" s="370"/>
    </row>
    <row r="41" spans="1:31" s="149" customFormat="1" ht="75" hidden="1">
      <c r="A41" s="135">
        <v>11</v>
      </c>
      <c r="B41" s="327" t="s">
        <v>796</v>
      </c>
      <c r="C41" s="135" t="s">
        <v>106</v>
      </c>
      <c r="D41" s="135"/>
      <c r="E41" s="135" t="s">
        <v>797</v>
      </c>
      <c r="F41" s="135" t="s">
        <v>54</v>
      </c>
      <c r="G41" s="449">
        <f>H41+I41</f>
        <v>1102.5</v>
      </c>
      <c r="H41" s="449">
        <v>1050</v>
      </c>
      <c r="I41" s="449">
        <v>52.5</v>
      </c>
      <c r="J41" s="450"/>
      <c r="K41" s="448">
        <f t="shared" si="27"/>
        <v>1005.3</v>
      </c>
      <c r="L41" s="448">
        <f t="shared" si="28"/>
        <v>950</v>
      </c>
      <c r="M41" s="448">
        <f t="shared" si="29"/>
        <v>55.3</v>
      </c>
      <c r="N41" s="505"/>
      <c r="O41" s="450"/>
      <c r="P41" s="450"/>
      <c r="Q41" s="450"/>
      <c r="R41" s="484"/>
      <c r="S41" s="484"/>
      <c r="T41" s="448">
        <f>+U41+V41</f>
        <v>1005.3</v>
      </c>
      <c r="U41" s="484">
        <v>950</v>
      </c>
      <c r="V41" s="484">
        <v>55.3</v>
      </c>
      <c r="W41" s="450"/>
      <c r="X41" s="484"/>
      <c r="Y41" s="484"/>
      <c r="Z41" s="450"/>
      <c r="AA41" s="450"/>
      <c r="AB41" s="138"/>
      <c r="AC41" s="370"/>
      <c r="AD41" s="370"/>
      <c r="AE41" s="370"/>
    </row>
    <row r="42" spans="1:31" s="146" customFormat="1" ht="45" hidden="1">
      <c r="A42" s="141">
        <f>+A41+1</f>
        <v>12</v>
      </c>
      <c r="B42" s="325" t="s">
        <v>1110</v>
      </c>
      <c r="C42" s="141" t="s">
        <v>106</v>
      </c>
      <c r="D42" s="141"/>
      <c r="E42" s="141" t="s">
        <v>113</v>
      </c>
      <c r="F42" s="141" t="s">
        <v>55</v>
      </c>
      <c r="G42" s="447">
        <f t="shared" si="14"/>
        <v>1325</v>
      </c>
      <c r="H42" s="447">
        <v>1263</v>
      </c>
      <c r="I42" s="447">
        <v>62</v>
      </c>
      <c r="J42" s="448">
        <v>0</v>
      </c>
      <c r="K42" s="448">
        <f t="shared" si="27"/>
        <v>0</v>
      </c>
      <c r="L42" s="448">
        <f t="shared" si="28"/>
        <v>0</v>
      </c>
      <c r="M42" s="448">
        <f t="shared" si="29"/>
        <v>0</v>
      </c>
      <c r="N42" s="445">
        <f t="shared" si="8"/>
        <v>0</v>
      </c>
      <c r="O42" s="448"/>
      <c r="P42" s="448"/>
      <c r="Q42" s="448"/>
      <c r="R42" s="483"/>
      <c r="S42" s="483"/>
      <c r="T42" s="448"/>
      <c r="U42" s="483"/>
      <c r="V42" s="483"/>
      <c r="W42" s="447">
        <f t="shared" ref="W42:W44" si="31">X42+Y42</f>
        <v>2058.0100000000002</v>
      </c>
      <c r="X42" s="481">
        <v>1988.24</v>
      </c>
      <c r="Y42" s="481">
        <v>69.77</v>
      </c>
      <c r="Z42" s="448"/>
      <c r="AA42" s="448"/>
      <c r="AB42" s="145"/>
      <c r="AC42" s="369"/>
      <c r="AD42" s="369"/>
      <c r="AE42" s="369"/>
    </row>
    <row r="43" spans="1:31" s="146" customFormat="1" ht="30" hidden="1">
      <c r="A43" s="141">
        <f t="shared" ref="A43:A44" si="32">+A42+1</f>
        <v>13</v>
      </c>
      <c r="B43" s="325" t="s">
        <v>1112</v>
      </c>
      <c r="C43" s="141" t="s">
        <v>106</v>
      </c>
      <c r="D43" s="141"/>
      <c r="E43" s="141"/>
      <c r="F43" s="141" t="s">
        <v>1111</v>
      </c>
      <c r="G43" s="447">
        <f t="shared" si="14"/>
        <v>460</v>
      </c>
      <c r="H43" s="447">
        <v>437</v>
      </c>
      <c r="I43" s="447">
        <v>23</v>
      </c>
      <c r="J43" s="448"/>
      <c r="K43" s="448"/>
      <c r="L43" s="448"/>
      <c r="M43" s="448"/>
      <c r="N43" s="445"/>
      <c r="O43" s="448"/>
      <c r="P43" s="448"/>
      <c r="Q43" s="448"/>
      <c r="R43" s="483"/>
      <c r="S43" s="483"/>
      <c r="T43" s="448"/>
      <c r="U43" s="483"/>
      <c r="V43" s="483"/>
      <c r="W43" s="447">
        <f t="shared" si="31"/>
        <v>460</v>
      </c>
      <c r="X43" s="481">
        <v>437</v>
      </c>
      <c r="Y43" s="481">
        <v>23</v>
      </c>
      <c r="Z43" s="448"/>
      <c r="AA43" s="448"/>
      <c r="AB43" s="145"/>
      <c r="AC43" s="369"/>
      <c r="AD43" s="369"/>
      <c r="AE43" s="369"/>
    </row>
    <row r="44" spans="1:31" s="146" customFormat="1" ht="45" hidden="1">
      <c r="A44" s="141">
        <f t="shared" si="32"/>
        <v>14</v>
      </c>
      <c r="B44" s="325" t="s">
        <v>114</v>
      </c>
      <c r="C44" s="141" t="s">
        <v>115</v>
      </c>
      <c r="D44" s="141"/>
      <c r="E44" s="141" t="s">
        <v>116</v>
      </c>
      <c r="F44" s="141" t="s">
        <v>55</v>
      </c>
      <c r="G44" s="447">
        <f t="shared" si="14"/>
        <v>840</v>
      </c>
      <c r="H44" s="447">
        <v>800</v>
      </c>
      <c r="I44" s="447">
        <v>40</v>
      </c>
      <c r="J44" s="448">
        <v>0</v>
      </c>
      <c r="K44" s="448">
        <f t="shared" si="27"/>
        <v>0</v>
      </c>
      <c r="L44" s="448">
        <f t="shared" si="28"/>
        <v>0</v>
      </c>
      <c r="M44" s="448">
        <f t="shared" si="29"/>
        <v>0</v>
      </c>
      <c r="N44" s="445">
        <f t="shared" si="8"/>
        <v>0</v>
      </c>
      <c r="O44" s="448"/>
      <c r="P44" s="448"/>
      <c r="Q44" s="448"/>
      <c r="R44" s="483"/>
      <c r="S44" s="483"/>
      <c r="T44" s="448"/>
      <c r="U44" s="483"/>
      <c r="V44" s="483"/>
      <c r="W44" s="447">
        <f t="shared" si="31"/>
        <v>840</v>
      </c>
      <c r="X44" s="481">
        <v>800</v>
      </c>
      <c r="Y44" s="481">
        <v>40</v>
      </c>
      <c r="Z44" s="448"/>
      <c r="AA44" s="448"/>
      <c r="AB44" s="145"/>
      <c r="AC44" s="369"/>
      <c r="AD44" s="369"/>
      <c r="AE44" s="369"/>
    </row>
    <row r="45" spans="1:31" s="14" customFormat="1" ht="23.25" customHeight="1">
      <c r="A45" s="4" t="s">
        <v>989</v>
      </c>
      <c r="B45" s="507" t="s">
        <v>118</v>
      </c>
      <c r="C45" s="4"/>
      <c r="D45" s="4"/>
      <c r="E45" s="417">
        <v>0</v>
      </c>
      <c r="F45" s="417"/>
      <c r="G45" s="446">
        <f>SUM(G46:G53)</f>
        <v>9025.7000000000007</v>
      </c>
      <c r="H45" s="446">
        <f t="shared" ref="H45:AA45" si="33">SUM(H46:H53)</f>
        <v>8595.9000000000015</v>
      </c>
      <c r="I45" s="446">
        <f t="shared" si="33"/>
        <v>429.8</v>
      </c>
      <c r="J45" s="446">
        <f t="shared" si="33"/>
        <v>0</v>
      </c>
      <c r="K45" s="446">
        <f t="shared" si="33"/>
        <v>6026.16</v>
      </c>
      <c r="L45" s="446">
        <f t="shared" si="33"/>
        <v>5715</v>
      </c>
      <c r="M45" s="446">
        <f t="shared" si="33"/>
        <v>311.16000000000003</v>
      </c>
      <c r="N45" s="446">
        <f t="shared" si="33"/>
        <v>1624.46</v>
      </c>
      <c r="O45" s="446">
        <f t="shared" si="33"/>
        <v>1547.1</v>
      </c>
      <c r="P45" s="446">
        <f t="shared" si="33"/>
        <v>77.36</v>
      </c>
      <c r="Q45" s="446">
        <f t="shared" si="33"/>
        <v>2186</v>
      </c>
      <c r="R45" s="482">
        <f t="shared" si="33"/>
        <v>2074</v>
      </c>
      <c r="S45" s="482">
        <f t="shared" si="33"/>
        <v>112</v>
      </c>
      <c r="T45" s="446">
        <f t="shared" si="33"/>
        <v>2215.7000000000003</v>
      </c>
      <c r="U45" s="482">
        <f t="shared" si="33"/>
        <v>2093.9</v>
      </c>
      <c r="V45" s="482">
        <f t="shared" si="33"/>
        <v>121.8</v>
      </c>
      <c r="W45" s="446">
        <f>SUM(W46:W54)</f>
        <v>2999.58</v>
      </c>
      <c r="X45" s="446">
        <f t="shared" ref="X45:Y45" si="34">SUM(X46:X54)</f>
        <v>2880.94</v>
      </c>
      <c r="Y45" s="446">
        <f t="shared" si="34"/>
        <v>118.64</v>
      </c>
      <c r="Z45" s="446"/>
      <c r="AA45" s="446">
        <f t="shared" si="33"/>
        <v>0</v>
      </c>
      <c r="AB45" s="16"/>
      <c r="AC45" s="368">
        <f>+'NĂM 2022'!K30+'NĂM 2023'!N30+'NĂM 2024'!J31+'NĂM 2025'!J30</f>
        <v>9025.7000000000007</v>
      </c>
      <c r="AD45" s="368">
        <f>+'NĂM 2022'!L30+'NĂM 2023'!O30+'NĂM 2024'!K31+'NĂM 2025'!K30</f>
        <v>8595.9000000000015</v>
      </c>
      <c r="AE45" s="368">
        <f>+'NĂM 2022'!M30+'NĂM 2023'!P30+'NĂM 2024'!L31+'NĂM 2025'!L30</f>
        <v>429.8</v>
      </c>
    </row>
    <row r="46" spans="1:31" s="146" customFormat="1" ht="75" hidden="1">
      <c r="A46" s="141">
        <v>1</v>
      </c>
      <c r="B46" s="325" t="s">
        <v>119</v>
      </c>
      <c r="C46" s="141" t="s">
        <v>120</v>
      </c>
      <c r="D46" s="141"/>
      <c r="E46" s="141" t="s">
        <v>94</v>
      </c>
      <c r="F46" s="141" t="s">
        <v>52</v>
      </c>
      <c r="G46" s="447">
        <f t="shared" si="14"/>
        <v>367.5</v>
      </c>
      <c r="H46" s="447">
        <v>350</v>
      </c>
      <c r="I46" s="447">
        <v>17.5</v>
      </c>
      <c r="J46" s="448">
        <v>0</v>
      </c>
      <c r="K46" s="448">
        <f>+L46+M46</f>
        <v>367.5</v>
      </c>
      <c r="L46" s="448">
        <f>+O46+R46+U46</f>
        <v>350</v>
      </c>
      <c r="M46" s="448">
        <f>+P46+S46+V46</f>
        <v>17.5</v>
      </c>
      <c r="N46" s="445">
        <f t="shared" si="8"/>
        <v>367.5</v>
      </c>
      <c r="O46" s="447">
        <v>350</v>
      </c>
      <c r="P46" s="447">
        <v>17.5</v>
      </c>
      <c r="Q46" s="447"/>
      <c r="R46" s="481"/>
      <c r="S46" s="481"/>
      <c r="T46" s="447"/>
      <c r="U46" s="481"/>
      <c r="V46" s="481"/>
      <c r="W46" s="447"/>
      <c r="X46" s="481"/>
      <c r="Y46" s="481"/>
      <c r="Z46" s="447"/>
      <c r="AA46" s="448"/>
      <c r="AB46" s="145"/>
      <c r="AC46" s="369">
        <f>+G45-K45</f>
        <v>2999.5400000000009</v>
      </c>
      <c r="AD46" s="369">
        <f>+H45-L45</f>
        <v>2880.9000000000015</v>
      </c>
      <c r="AE46" s="369">
        <f>+I45-M45</f>
        <v>118.63999999999999</v>
      </c>
    </row>
    <row r="47" spans="1:31" s="146" customFormat="1" ht="75" hidden="1">
      <c r="A47" s="141">
        <v>2</v>
      </c>
      <c r="B47" s="325" t="s">
        <v>121</v>
      </c>
      <c r="C47" s="141" t="s">
        <v>122</v>
      </c>
      <c r="D47" s="141"/>
      <c r="E47" s="141" t="s">
        <v>94</v>
      </c>
      <c r="F47" s="141" t="s">
        <v>52</v>
      </c>
      <c r="G47" s="447">
        <f t="shared" si="14"/>
        <v>367.5</v>
      </c>
      <c r="H47" s="447">
        <v>350</v>
      </c>
      <c r="I47" s="447">
        <v>17.5</v>
      </c>
      <c r="J47" s="448">
        <v>0</v>
      </c>
      <c r="K47" s="448">
        <f t="shared" ref="K47:K51" si="35">+L47+M47</f>
        <v>367.5</v>
      </c>
      <c r="L47" s="448">
        <f t="shared" ref="L47:L51" si="36">+O47+R47+U47</f>
        <v>350</v>
      </c>
      <c r="M47" s="448">
        <f t="shared" ref="M47:M51" si="37">+P47+S47+V47</f>
        <v>17.5</v>
      </c>
      <c r="N47" s="445">
        <f t="shared" si="8"/>
        <v>367.5</v>
      </c>
      <c r="O47" s="447">
        <v>350</v>
      </c>
      <c r="P47" s="447">
        <v>17.5</v>
      </c>
      <c r="Q47" s="447"/>
      <c r="R47" s="481"/>
      <c r="S47" s="481"/>
      <c r="T47" s="447"/>
      <c r="U47" s="481"/>
      <c r="V47" s="481"/>
      <c r="W47" s="447"/>
      <c r="X47" s="481"/>
      <c r="Y47" s="481"/>
      <c r="Z47" s="447"/>
      <c r="AA47" s="448"/>
      <c r="AB47" s="145"/>
      <c r="AC47" s="369">
        <f>+AC46-W45</f>
        <v>-3.9999999999054126E-2</v>
      </c>
      <c r="AD47" s="369">
        <f t="shared" ref="AD47:AE47" si="38">+AD46-X45</f>
        <v>-3.9999999998599378E-2</v>
      </c>
      <c r="AE47" s="369">
        <f t="shared" si="38"/>
        <v>0</v>
      </c>
    </row>
    <row r="48" spans="1:31" s="146" customFormat="1" ht="75" hidden="1">
      <c r="A48" s="141">
        <v>3</v>
      </c>
      <c r="B48" s="325" t="s">
        <v>123</v>
      </c>
      <c r="C48" s="141" t="s">
        <v>124</v>
      </c>
      <c r="D48" s="141"/>
      <c r="E48" s="141" t="s">
        <v>125</v>
      </c>
      <c r="F48" s="141" t="s">
        <v>52</v>
      </c>
      <c r="G48" s="447">
        <f t="shared" si="14"/>
        <v>367.5</v>
      </c>
      <c r="H48" s="447">
        <v>350</v>
      </c>
      <c r="I48" s="447">
        <v>17.5</v>
      </c>
      <c r="J48" s="448">
        <v>0</v>
      </c>
      <c r="K48" s="448">
        <f t="shared" si="35"/>
        <v>367.5</v>
      </c>
      <c r="L48" s="448">
        <f t="shared" si="36"/>
        <v>350</v>
      </c>
      <c r="M48" s="448">
        <f t="shared" si="37"/>
        <v>17.5</v>
      </c>
      <c r="N48" s="445">
        <f t="shared" si="8"/>
        <v>367.5</v>
      </c>
      <c r="O48" s="447">
        <v>350</v>
      </c>
      <c r="P48" s="447">
        <v>17.5</v>
      </c>
      <c r="Q48" s="447"/>
      <c r="R48" s="481"/>
      <c r="S48" s="481"/>
      <c r="T48" s="447"/>
      <c r="U48" s="481"/>
      <c r="V48" s="481"/>
      <c r="W48" s="447"/>
      <c r="X48" s="481"/>
      <c r="Y48" s="481"/>
      <c r="Z48" s="447"/>
      <c r="AA48" s="448"/>
      <c r="AB48" s="145"/>
      <c r="AC48" s="369"/>
      <c r="AD48" s="369"/>
      <c r="AE48" s="369"/>
    </row>
    <row r="49" spans="1:31" s="146" customFormat="1" ht="75" hidden="1">
      <c r="A49" s="141">
        <v>4</v>
      </c>
      <c r="B49" s="325" t="s">
        <v>126</v>
      </c>
      <c r="C49" s="141" t="s">
        <v>127</v>
      </c>
      <c r="D49" s="141"/>
      <c r="E49" s="141" t="s">
        <v>128</v>
      </c>
      <c r="F49" s="141" t="s">
        <v>52</v>
      </c>
      <c r="G49" s="447">
        <f>H49+I49</f>
        <v>521.96</v>
      </c>
      <c r="H49" s="447">
        <v>497.1</v>
      </c>
      <c r="I49" s="447">
        <v>24.86</v>
      </c>
      <c r="J49" s="448">
        <v>0</v>
      </c>
      <c r="K49" s="448">
        <f t="shared" si="35"/>
        <v>521.96</v>
      </c>
      <c r="L49" s="448">
        <f t="shared" si="36"/>
        <v>497.1</v>
      </c>
      <c r="M49" s="448">
        <f t="shared" si="37"/>
        <v>24.86</v>
      </c>
      <c r="N49" s="445">
        <f t="shared" si="8"/>
        <v>521.96</v>
      </c>
      <c r="O49" s="447">
        <v>497.1</v>
      </c>
      <c r="P49" s="447">
        <v>24.86</v>
      </c>
      <c r="Q49" s="447"/>
      <c r="R49" s="481"/>
      <c r="S49" s="481"/>
      <c r="T49" s="447"/>
      <c r="U49" s="481"/>
      <c r="V49" s="481"/>
      <c r="W49" s="447"/>
      <c r="X49" s="481"/>
      <c r="Y49" s="481"/>
      <c r="Z49" s="447"/>
      <c r="AA49" s="448"/>
      <c r="AB49" s="145"/>
      <c r="AC49" s="369"/>
      <c r="AD49" s="369"/>
      <c r="AE49" s="369"/>
    </row>
    <row r="50" spans="1:31" s="146" customFormat="1" ht="75" hidden="1">
      <c r="A50" s="141">
        <v>5</v>
      </c>
      <c r="B50" s="325" t="s">
        <v>129</v>
      </c>
      <c r="C50" s="141" t="s">
        <v>127</v>
      </c>
      <c r="D50" s="141"/>
      <c r="E50" s="141" t="s">
        <v>130</v>
      </c>
      <c r="F50" s="141" t="s">
        <v>53</v>
      </c>
      <c r="G50" s="447">
        <f t="shared" si="14"/>
        <v>2625</v>
      </c>
      <c r="H50" s="447">
        <v>2500</v>
      </c>
      <c r="I50" s="447">
        <v>125</v>
      </c>
      <c r="J50" s="448">
        <v>0</v>
      </c>
      <c r="K50" s="448">
        <f t="shared" si="35"/>
        <v>2186</v>
      </c>
      <c r="L50" s="448">
        <f t="shared" si="36"/>
        <v>2074</v>
      </c>
      <c r="M50" s="448">
        <f t="shared" si="37"/>
        <v>112</v>
      </c>
      <c r="N50" s="445">
        <f t="shared" si="8"/>
        <v>0</v>
      </c>
      <c r="O50" s="448"/>
      <c r="P50" s="448"/>
      <c r="Q50" s="448">
        <f>+R50+S50</f>
        <v>2186</v>
      </c>
      <c r="R50" s="483">
        <v>2074</v>
      </c>
      <c r="S50" s="483">
        <v>112</v>
      </c>
      <c r="T50" s="448"/>
      <c r="U50" s="483"/>
      <c r="V50" s="483"/>
      <c r="W50" s="448"/>
      <c r="X50" s="483"/>
      <c r="Y50" s="483"/>
      <c r="Z50" s="448"/>
      <c r="AA50" s="448"/>
      <c r="AB50" s="145"/>
      <c r="AC50" s="369"/>
      <c r="AD50" s="369"/>
      <c r="AE50" s="369"/>
    </row>
    <row r="51" spans="1:31" s="146" customFormat="1" ht="75" hidden="1">
      <c r="A51" s="141">
        <v>6</v>
      </c>
      <c r="B51" s="325" t="s">
        <v>131</v>
      </c>
      <c r="C51" s="141" t="s">
        <v>132</v>
      </c>
      <c r="D51" s="141"/>
      <c r="E51" s="141" t="s">
        <v>130</v>
      </c>
      <c r="F51" s="141" t="s">
        <v>54</v>
      </c>
      <c r="G51" s="447">
        <f t="shared" si="14"/>
        <v>2520</v>
      </c>
      <c r="H51" s="447">
        <v>2400</v>
      </c>
      <c r="I51" s="447">
        <v>120</v>
      </c>
      <c r="J51" s="448">
        <v>0</v>
      </c>
      <c r="K51" s="448">
        <f t="shared" si="35"/>
        <v>2215.7000000000003</v>
      </c>
      <c r="L51" s="448">
        <f t="shared" si="36"/>
        <v>2093.9</v>
      </c>
      <c r="M51" s="448">
        <f t="shared" si="37"/>
        <v>121.8</v>
      </c>
      <c r="N51" s="445">
        <f t="shared" si="8"/>
        <v>0</v>
      </c>
      <c r="O51" s="448"/>
      <c r="P51" s="448"/>
      <c r="Q51" s="448"/>
      <c r="R51" s="483"/>
      <c r="S51" s="483"/>
      <c r="T51" s="448">
        <f>+U51+V51</f>
        <v>2215.7000000000003</v>
      </c>
      <c r="U51" s="483">
        <v>2093.9</v>
      </c>
      <c r="V51" s="483">
        <v>121.8</v>
      </c>
      <c r="W51" s="448"/>
      <c r="X51" s="483"/>
      <c r="Y51" s="483"/>
      <c r="Z51" s="448"/>
      <c r="AA51" s="448"/>
      <c r="AB51" s="145"/>
      <c r="AC51" s="369"/>
      <c r="AD51" s="369"/>
      <c r="AE51" s="369"/>
    </row>
    <row r="52" spans="1:31" s="146" customFormat="1" ht="75" hidden="1">
      <c r="A52" s="141">
        <v>7</v>
      </c>
      <c r="B52" s="325" t="s">
        <v>133</v>
      </c>
      <c r="C52" s="141" t="s">
        <v>134</v>
      </c>
      <c r="D52" s="141"/>
      <c r="E52" s="141" t="s">
        <v>128</v>
      </c>
      <c r="F52" s="141" t="s">
        <v>55</v>
      </c>
      <c r="G52" s="447">
        <f t="shared" si="14"/>
        <v>1626.24</v>
      </c>
      <c r="H52" s="447">
        <v>1548.8</v>
      </c>
      <c r="I52" s="447">
        <v>77.44</v>
      </c>
      <c r="J52" s="448">
        <v>0</v>
      </c>
      <c r="K52" s="448">
        <f t="shared" ref="K52:K53" si="39">+L52+M52</f>
        <v>0</v>
      </c>
      <c r="L52" s="448">
        <f t="shared" ref="L52:L53" si="40">+O52+R52+T52</f>
        <v>0</v>
      </c>
      <c r="M52" s="448">
        <f t="shared" ref="M52:M53" si="41">+P52+S52+V52</f>
        <v>0</v>
      </c>
      <c r="N52" s="445">
        <f t="shared" si="8"/>
        <v>0</v>
      </c>
      <c r="O52" s="448"/>
      <c r="P52" s="448"/>
      <c r="Q52" s="448"/>
      <c r="R52" s="483"/>
      <c r="S52" s="483"/>
      <c r="T52" s="448"/>
      <c r="U52" s="483"/>
      <c r="V52" s="483"/>
      <c r="W52" s="447">
        <f t="shared" ref="W52:W54" si="42">X52+Y52</f>
        <v>1626.24</v>
      </c>
      <c r="X52" s="481">
        <v>1548.8</v>
      </c>
      <c r="Y52" s="481">
        <v>77.44</v>
      </c>
      <c r="Z52" s="448"/>
      <c r="AA52" s="448"/>
      <c r="AB52" s="145"/>
      <c r="AC52" s="369"/>
      <c r="AD52" s="369"/>
      <c r="AE52" s="369"/>
    </row>
    <row r="53" spans="1:31" s="146" customFormat="1" ht="30" hidden="1">
      <c r="A53" s="141">
        <v>8</v>
      </c>
      <c r="B53" s="325" t="s">
        <v>135</v>
      </c>
      <c r="C53" s="141" t="s">
        <v>134</v>
      </c>
      <c r="D53" s="141"/>
      <c r="E53" s="141" t="s">
        <v>136</v>
      </c>
      <c r="F53" s="141" t="s">
        <v>55</v>
      </c>
      <c r="G53" s="447">
        <f t="shared" si="14"/>
        <v>630</v>
      </c>
      <c r="H53" s="447">
        <v>600</v>
      </c>
      <c r="I53" s="447">
        <v>30</v>
      </c>
      <c r="J53" s="448">
        <v>0</v>
      </c>
      <c r="K53" s="448">
        <f t="shared" si="39"/>
        <v>0</v>
      </c>
      <c r="L53" s="448">
        <f t="shared" si="40"/>
        <v>0</v>
      </c>
      <c r="M53" s="448">
        <f t="shared" si="41"/>
        <v>0</v>
      </c>
      <c r="N53" s="445">
        <f t="shared" si="8"/>
        <v>0</v>
      </c>
      <c r="O53" s="448"/>
      <c r="P53" s="448"/>
      <c r="Q53" s="448"/>
      <c r="R53" s="483"/>
      <c r="S53" s="483"/>
      <c r="T53" s="448"/>
      <c r="U53" s="483"/>
      <c r="V53" s="483"/>
      <c r="W53" s="447">
        <f t="shared" si="42"/>
        <v>630</v>
      </c>
      <c r="X53" s="481">
        <v>600</v>
      </c>
      <c r="Y53" s="481">
        <v>30</v>
      </c>
      <c r="Z53" s="448"/>
      <c r="AA53" s="448"/>
      <c r="AB53" s="145"/>
      <c r="AC53" s="369"/>
      <c r="AD53" s="369"/>
      <c r="AE53" s="369"/>
    </row>
    <row r="54" spans="1:31" s="146" customFormat="1" ht="30" hidden="1">
      <c r="A54" s="141"/>
      <c r="B54" s="325" t="s">
        <v>1134</v>
      </c>
      <c r="C54" s="141" t="s">
        <v>134</v>
      </c>
      <c r="D54" s="141"/>
      <c r="E54" s="141" t="s">
        <v>136</v>
      </c>
      <c r="F54" s="141" t="s">
        <v>55</v>
      </c>
      <c r="G54" s="447"/>
      <c r="H54" s="447"/>
      <c r="I54" s="447"/>
      <c r="J54" s="448"/>
      <c r="K54" s="448"/>
      <c r="L54" s="448"/>
      <c r="M54" s="448"/>
      <c r="N54" s="445"/>
      <c r="O54" s="448"/>
      <c r="P54" s="448"/>
      <c r="Q54" s="448"/>
      <c r="R54" s="483"/>
      <c r="S54" s="483"/>
      <c r="T54" s="448"/>
      <c r="U54" s="483"/>
      <c r="V54" s="483"/>
      <c r="W54" s="447">
        <f t="shared" si="42"/>
        <v>743.34</v>
      </c>
      <c r="X54" s="481">
        <v>732.14</v>
      </c>
      <c r="Y54" s="481">
        <v>11.2</v>
      </c>
      <c r="Z54" s="448"/>
      <c r="AA54" s="448"/>
      <c r="AB54" s="145"/>
      <c r="AC54" s="369"/>
      <c r="AD54" s="369"/>
      <c r="AE54" s="369"/>
    </row>
    <row r="55" spans="1:31" s="18" customFormat="1" ht="23.25" customHeight="1">
      <c r="A55" s="4" t="s">
        <v>990</v>
      </c>
      <c r="B55" s="507" t="s">
        <v>138</v>
      </c>
      <c r="C55" s="418"/>
      <c r="D55" s="418"/>
      <c r="E55" s="417">
        <v>0</v>
      </c>
      <c r="F55" s="417"/>
      <c r="G55" s="446">
        <f>SUM(G56:G63)</f>
        <v>11111.36</v>
      </c>
      <c r="H55" s="446">
        <f t="shared" ref="H55:AA55" si="43">SUM(H56:H63)</f>
        <v>10582.15</v>
      </c>
      <c r="I55" s="446">
        <f t="shared" si="43"/>
        <v>529.21</v>
      </c>
      <c r="J55" s="446">
        <f t="shared" si="43"/>
        <v>0</v>
      </c>
      <c r="K55" s="446">
        <f t="shared" si="43"/>
        <v>7424.9499999999989</v>
      </c>
      <c r="L55" s="446">
        <f t="shared" si="43"/>
        <v>7041.3200000000006</v>
      </c>
      <c r="M55" s="446">
        <f t="shared" si="43"/>
        <v>383.63</v>
      </c>
      <c r="N55" s="446">
        <f t="shared" si="43"/>
        <v>2003.6999999999998</v>
      </c>
      <c r="O55" s="446">
        <f>SUM(O56:O63)</f>
        <v>1908.12</v>
      </c>
      <c r="P55" s="446">
        <f t="shared" si="43"/>
        <v>95.58</v>
      </c>
      <c r="Q55" s="446">
        <f t="shared" si="43"/>
        <v>2692.35</v>
      </c>
      <c r="R55" s="446">
        <f t="shared" si="43"/>
        <v>2554.4</v>
      </c>
      <c r="S55" s="446">
        <f t="shared" si="43"/>
        <v>137.94999999999999</v>
      </c>
      <c r="T55" s="446">
        <f t="shared" si="43"/>
        <v>2728.9</v>
      </c>
      <c r="U55" s="446">
        <f t="shared" si="43"/>
        <v>2578.7999999999997</v>
      </c>
      <c r="V55" s="446">
        <f t="shared" si="43"/>
        <v>150.1</v>
      </c>
      <c r="W55" s="446">
        <f>SUM(W56:W68)</f>
        <v>3686.41</v>
      </c>
      <c r="X55" s="446">
        <f t="shared" ref="X55:Y55" si="44">SUM(X56:X68)</f>
        <v>3540.83</v>
      </c>
      <c r="Y55" s="446">
        <f t="shared" si="44"/>
        <v>145.57999999999998</v>
      </c>
      <c r="Z55" s="446"/>
      <c r="AA55" s="446">
        <f t="shared" si="43"/>
        <v>0</v>
      </c>
      <c r="AB55" s="16"/>
      <c r="AC55" s="371">
        <f>+'NĂM 2022'!K35+'NĂM 2023'!N32+'NĂM 2024'!J33+'NĂM 2025'!J33</f>
        <v>11111.359999999999</v>
      </c>
      <c r="AD55" s="371">
        <f>+'NĂM 2022'!L35+'NĂM 2023'!O32+'NĂM 2024'!K33+'NĂM 2025'!K33</f>
        <v>10582.15</v>
      </c>
      <c r="AE55" s="371">
        <f>+'NĂM 2022'!M35+'NĂM 2023'!P32+'NĂM 2024'!L33+'NĂM 2025'!L33</f>
        <v>529.21</v>
      </c>
    </row>
    <row r="56" spans="1:31" ht="45" hidden="1">
      <c r="A56" s="8">
        <v>1</v>
      </c>
      <c r="B56" s="328" t="s">
        <v>139</v>
      </c>
      <c r="C56" s="8" t="s">
        <v>140</v>
      </c>
      <c r="D56" s="8"/>
      <c r="E56" s="22" t="s">
        <v>141</v>
      </c>
      <c r="F56" s="8" t="s">
        <v>52</v>
      </c>
      <c r="G56" s="445">
        <f>H56+I56</f>
        <v>735</v>
      </c>
      <c r="H56" s="445">
        <v>700</v>
      </c>
      <c r="I56" s="445">
        <v>35</v>
      </c>
      <c r="J56" s="451">
        <v>0</v>
      </c>
      <c r="K56" s="451">
        <f>+L56+M56</f>
        <v>735</v>
      </c>
      <c r="L56" s="451">
        <f>+O56+R56+U56</f>
        <v>700</v>
      </c>
      <c r="M56" s="451">
        <f>+P56+S56+V56</f>
        <v>35</v>
      </c>
      <c r="N56" s="445">
        <f>O56+P56</f>
        <v>735</v>
      </c>
      <c r="O56" s="445">
        <v>700</v>
      </c>
      <c r="P56" s="445">
        <v>35</v>
      </c>
      <c r="Q56" s="445"/>
      <c r="R56" s="481"/>
      <c r="S56" s="481"/>
      <c r="T56" s="445"/>
      <c r="U56" s="481"/>
      <c r="V56" s="481"/>
      <c r="W56" s="445"/>
      <c r="X56" s="481"/>
      <c r="Y56" s="481"/>
      <c r="Z56" s="445"/>
      <c r="AA56" s="451"/>
      <c r="AB56" s="15"/>
      <c r="AC56" s="506">
        <f>+G55-K55</f>
        <v>3686.4100000000017</v>
      </c>
      <c r="AD56" s="506">
        <f>+H55-L55</f>
        <v>3540.829999999999</v>
      </c>
      <c r="AE56" s="506">
        <f>+I55-M55</f>
        <v>145.58000000000004</v>
      </c>
    </row>
    <row r="57" spans="1:31" s="146" customFormat="1" ht="45" hidden="1">
      <c r="A57" s="141">
        <v>2</v>
      </c>
      <c r="B57" s="325" t="s">
        <v>827</v>
      </c>
      <c r="C57" s="141" t="s">
        <v>140</v>
      </c>
      <c r="D57" s="141"/>
      <c r="E57" s="22" t="s">
        <v>142</v>
      </c>
      <c r="F57" s="141" t="s">
        <v>52</v>
      </c>
      <c r="G57" s="445">
        <f t="shared" si="14"/>
        <v>331.8</v>
      </c>
      <c r="H57" s="445">
        <v>316</v>
      </c>
      <c r="I57" s="445">
        <v>15.8</v>
      </c>
      <c r="J57" s="448">
        <v>0</v>
      </c>
      <c r="K57" s="451">
        <f t="shared" ref="K57:K63" si="45">+L57+M57</f>
        <v>331.8</v>
      </c>
      <c r="L57" s="451">
        <f t="shared" ref="L57:L63" si="46">+O57+R57+U57</f>
        <v>316</v>
      </c>
      <c r="M57" s="451">
        <f t="shared" ref="M57:M63" si="47">+P57+S57+V57</f>
        <v>15.8</v>
      </c>
      <c r="N57" s="445">
        <f t="shared" si="8"/>
        <v>331.8</v>
      </c>
      <c r="O57" s="445">
        <v>316</v>
      </c>
      <c r="P57" s="445">
        <v>15.8</v>
      </c>
      <c r="Q57" s="445"/>
      <c r="R57" s="481"/>
      <c r="S57" s="481"/>
      <c r="T57" s="445"/>
      <c r="U57" s="481"/>
      <c r="V57" s="481"/>
      <c r="W57" s="445"/>
      <c r="X57" s="481"/>
      <c r="Y57" s="481"/>
      <c r="Z57" s="445"/>
      <c r="AA57" s="448"/>
      <c r="AB57" s="145"/>
      <c r="AC57" s="471">
        <f>+AC56-W55</f>
        <v>0</v>
      </c>
      <c r="AD57" s="471">
        <f t="shared" ref="AD57:AE57" si="48">+AD56-X55</f>
        <v>0</v>
      </c>
      <c r="AE57" s="471">
        <f t="shared" si="48"/>
        <v>0</v>
      </c>
    </row>
    <row r="58" spans="1:31" ht="30" hidden="1">
      <c r="A58" s="8">
        <v>3</v>
      </c>
      <c r="B58" s="325" t="s">
        <v>143</v>
      </c>
      <c r="C58" s="141" t="s">
        <v>140</v>
      </c>
      <c r="D58" s="8"/>
      <c r="E58" s="8" t="s">
        <v>828</v>
      </c>
      <c r="F58" s="141" t="s">
        <v>52</v>
      </c>
      <c r="G58" s="445">
        <f>H58+I58</f>
        <v>936.9</v>
      </c>
      <c r="H58" s="445">
        <v>892.12</v>
      </c>
      <c r="I58" s="445">
        <v>44.78</v>
      </c>
      <c r="J58" s="451">
        <v>0</v>
      </c>
      <c r="K58" s="451">
        <f t="shared" si="45"/>
        <v>936.9</v>
      </c>
      <c r="L58" s="451">
        <f t="shared" si="46"/>
        <v>892.12</v>
      </c>
      <c r="M58" s="451">
        <f t="shared" si="47"/>
        <v>44.78</v>
      </c>
      <c r="N58" s="445">
        <f>O58+P58</f>
        <v>936.9</v>
      </c>
      <c r="O58" s="445">
        <v>892.12</v>
      </c>
      <c r="P58" s="445">
        <v>44.78</v>
      </c>
      <c r="Q58" s="445"/>
      <c r="R58" s="481"/>
      <c r="S58" s="481"/>
      <c r="T58" s="445"/>
      <c r="U58" s="481"/>
      <c r="V58" s="481"/>
      <c r="W58" s="445"/>
      <c r="X58" s="481"/>
      <c r="Y58" s="481"/>
      <c r="Z58" s="445"/>
      <c r="AA58" s="451"/>
      <c r="AB58" s="15"/>
    </row>
    <row r="59" spans="1:31" s="146" customFormat="1" ht="30" hidden="1">
      <c r="A59" s="141">
        <v>4</v>
      </c>
      <c r="B59" s="325" t="s">
        <v>825</v>
      </c>
      <c r="C59" s="141" t="s">
        <v>144</v>
      </c>
      <c r="D59" s="141"/>
      <c r="E59" s="141" t="s">
        <v>826</v>
      </c>
      <c r="F59" s="141" t="s">
        <v>53</v>
      </c>
      <c r="G59" s="447">
        <f>H59+I59</f>
        <v>3000.9</v>
      </c>
      <c r="H59" s="445">
        <v>2858</v>
      </c>
      <c r="I59" s="445">
        <v>142.9</v>
      </c>
      <c r="J59" s="448">
        <v>0</v>
      </c>
      <c r="K59" s="451">
        <f t="shared" si="45"/>
        <v>692.1</v>
      </c>
      <c r="L59" s="451">
        <f t="shared" si="46"/>
        <v>649.4</v>
      </c>
      <c r="M59" s="451">
        <f t="shared" si="47"/>
        <v>42.7</v>
      </c>
      <c r="N59" s="445">
        <f t="shared" si="8"/>
        <v>0</v>
      </c>
      <c r="O59" s="448"/>
      <c r="P59" s="448"/>
      <c r="Q59" s="448">
        <f>+R59+S59</f>
        <v>692.1</v>
      </c>
      <c r="R59" s="483">
        <v>649.4</v>
      </c>
      <c r="S59" s="483">
        <v>42.7</v>
      </c>
      <c r="T59" s="448"/>
      <c r="U59" s="483"/>
      <c r="V59" s="483"/>
      <c r="W59" s="448"/>
      <c r="X59" s="483"/>
      <c r="Y59" s="483"/>
      <c r="Z59" s="448"/>
      <c r="AA59" s="448"/>
      <c r="AB59" s="145"/>
      <c r="AC59" s="369"/>
      <c r="AD59" s="369"/>
      <c r="AE59" s="369"/>
    </row>
    <row r="60" spans="1:31" s="146" customFormat="1" ht="60" hidden="1">
      <c r="A60" s="141">
        <v>5</v>
      </c>
      <c r="B60" s="325" t="s">
        <v>904</v>
      </c>
      <c r="C60" s="141" t="s">
        <v>140</v>
      </c>
      <c r="D60" s="141"/>
      <c r="E60" s="150" t="s">
        <v>905</v>
      </c>
      <c r="F60" s="141" t="s">
        <v>53</v>
      </c>
      <c r="G60" s="447">
        <f t="shared" si="14"/>
        <v>2000.25</v>
      </c>
      <c r="H60" s="445">
        <v>1905</v>
      </c>
      <c r="I60" s="445">
        <v>95.25</v>
      </c>
      <c r="J60" s="448">
        <v>0</v>
      </c>
      <c r="K60" s="451">
        <f t="shared" si="45"/>
        <v>2000.25</v>
      </c>
      <c r="L60" s="451">
        <f t="shared" si="46"/>
        <v>1905</v>
      </c>
      <c r="M60" s="451">
        <f t="shared" si="47"/>
        <v>95.25</v>
      </c>
      <c r="N60" s="445">
        <f t="shared" si="8"/>
        <v>0</v>
      </c>
      <c r="O60" s="448"/>
      <c r="P60" s="448"/>
      <c r="Q60" s="448">
        <f>+R60+S60</f>
        <v>2000.25</v>
      </c>
      <c r="R60" s="483">
        <v>1905</v>
      </c>
      <c r="S60" s="483">
        <v>95.25</v>
      </c>
      <c r="T60" s="448"/>
      <c r="U60" s="483"/>
      <c r="V60" s="483"/>
      <c r="W60" s="448"/>
      <c r="X60" s="483"/>
      <c r="Y60" s="483"/>
      <c r="Z60" s="448"/>
      <c r="AA60" s="448"/>
      <c r="AB60" s="145"/>
      <c r="AC60" s="369"/>
      <c r="AD60" s="369"/>
      <c r="AE60" s="369"/>
    </row>
    <row r="61" spans="1:31" s="146" customFormat="1" ht="30" hidden="1">
      <c r="A61" s="141">
        <v>6</v>
      </c>
      <c r="B61" s="325" t="s">
        <v>906</v>
      </c>
      <c r="C61" s="141" t="s">
        <v>144</v>
      </c>
      <c r="D61" s="141"/>
      <c r="E61" s="141" t="s">
        <v>907</v>
      </c>
      <c r="F61" s="141" t="s">
        <v>54</v>
      </c>
      <c r="G61" s="447">
        <f t="shared" si="14"/>
        <v>3000.9</v>
      </c>
      <c r="H61" s="447">
        <v>2858</v>
      </c>
      <c r="I61" s="447">
        <v>142.9</v>
      </c>
      <c r="J61" s="448">
        <v>0</v>
      </c>
      <c r="K61" s="451">
        <f t="shared" si="45"/>
        <v>1622.9</v>
      </c>
      <c r="L61" s="451">
        <f t="shared" si="46"/>
        <v>1533.7</v>
      </c>
      <c r="M61" s="451">
        <f t="shared" si="47"/>
        <v>89.2</v>
      </c>
      <c r="N61" s="445">
        <f t="shared" si="8"/>
        <v>0</v>
      </c>
      <c r="O61" s="448"/>
      <c r="P61" s="448"/>
      <c r="Q61" s="448"/>
      <c r="R61" s="483"/>
      <c r="S61" s="483"/>
      <c r="T61" s="448">
        <f>+U61+V61</f>
        <v>1622.9</v>
      </c>
      <c r="U61" s="483">
        <v>1533.7</v>
      </c>
      <c r="V61" s="483">
        <v>89.2</v>
      </c>
      <c r="W61" s="448"/>
      <c r="X61" s="483"/>
      <c r="Y61" s="483"/>
      <c r="Z61" s="448"/>
      <c r="AA61" s="448"/>
      <c r="AB61" s="145"/>
      <c r="AC61" s="369"/>
      <c r="AD61" s="369"/>
      <c r="AE61" s="369"/>
    </row>
    <row r="62" spans="1:31" ht="54" hidden="1" customHeight="1">
      <c r="A62" s="8">
        <v>7</v>
      </c>
      <c r="B62" s="325" t="s">
        <v>908</v>
      </c>
      <c r="C62" s="141" t="s">
        <v>145</v>
      </c>
      <c r="D62" s="8"/>
      <c r="E62" s="22" t="s">
        <v>142</v>
      </c>
      <c r="F62" s="8" t="s">
        <v>54</v>
      </c>
      <c r="G62" s="445">
        <f t="shared" si="14"/>
        <v>599.51</v>
      </c>
      <c r="H62" s="445">
        <v>571.03</v>
      </c>
      <c r="I62" s="445">
        <v>28.48</v>
      </c>
      <c r="J62" s="451">
        <v>0</v>
      </c>
      <c r="K62" s="451">
        <f t="shared" si="45"/>
        <v>599.5</v>
      </c>
      <c r="L62" s="451">
        <f t="shared" si="46"/>
        <v>566.5</v>
      </c>
      <c r="M62" s="451">
        <f t="shared" si="47"/>
        <v>33</v>
      </c>
      <c r="N62" s="445">
        <f t="shared" si="8"/>
        <v>0</v>
      </c>
      <c r="O62" s="451"/>
      <c r="P62" s="451"/>
      <c r="Q62" s="451"/>
      <c r="R62" s="483"/>
      <c r="S62" s="483"/>
      <c r="T62" s="448">
        <f t="shared" ref="T62:T63" si="49">+U62+V62</f>
        <v>599.5</v>
      </c>
      <c r="U62" s="483">
        <v>566.5</v>
      </c>
      <c r="V62" s="483">
        <v>33</v>
      </c>
      <c r="W62" s="451"/>
      <c r="X62" s="483"/>
      <c r="Y62" s="483"/>
      <c r="Z62" s="451"/>
      <c r="AA62" s="451"/>
      <c r="AB62" s="15"/>
    </row>
    <row r="63" spans="1:31" ht="45" hidden="1">
      <c r="A63" s="8">
        <v>8</v>
      </c>
      <c r="B63" s="328" t="s">
        <v>146</v>
      </c>
      <c r="C63" s="8" t="s">
        <v>145</v>
      </c>
      <c r="D63" s="8"/>
      <c r="E63" s="22" t="s">
        <v>142</v>
      </c>
      <c r="F63" s="8" t="s">
        <v>55</v>
      </c>
      <c r="G63" s="445">
        <f t="shared" si="14"/>
        <v>506.1</v>
      </c>
      <c r="H63" s="445">
        <v>482</v>
      </c>
      <c r="I63" s="445">
        <v>24.1</v>
      </c>
      <c r="J63" s="451">
        <v>0</v>
      </c>
      <c r="K63" s="451">
        <f t="shared" si="45"/>
        <v>506.5</v>
      </c>
      <c r="L63" s="451">
        <f t="shared" si="46"/>
        <v>478.6</v>
      </c>
      <c r="M63" s="451">
        <f t="shared" si="47"/>
        <v>27.9</v>
      </c>
      <c r="N63" s="445">
        <f t="shared" si="8"/>
        <v>0</v>
      </c>
      <c r="O63" s="451"/>
      <c r="P63" s="451"/>
      <c r="Q63" s="451"/>
      <c r="R63" s="483"/>
      <c r="S63" s="483"/>
      <c r="T63" s="448">
        <f t="shared" si="49"/>
        <v>506.5</v>
      </c>
      <c r="U63" s="483">
        <v>478.6</v>
      </c>
      <c r="V63" s="483">
        <v>27.9</v>
      </c>
      <c r="W63" s="451"/>
      <c r="X63" s="483"/>
      <c r="Y63" s="483"/>
      <c r="Z63" s="451"/>
      <c r="AA63" s="451"/>
      <c r="AB63" s="15"/>
    </row>
    <row r="64" spans="1:31" ht="60" hidden="1">
      <c r="A64" s="8"/>
      <c r="B64" s="328" t="s">
        <v>1136</v>
      </c>
      <c r="C64" s="8"/>
      <c r="D64" s="8"/>
      <c r="E64" s="22"/>
      <c r="F64" s="8"/>
      <c r="G64" s="445"/>
      <c r="H64" s="445"/>
      <c r="I64" s="445"/>
      <c r="J64" s="451"/>
      <c r="K64" s="451"/>
      <c r="L64" s="451"/>
      <c r="M64" s="451"/>
      <c r="N64" s="445"/>
      <c r="O64" s="451"/>
      <c r="P64" s="451"/>
      <c r="Q64" s="451"/>
      <c r="R64" s="483"/>
      <c r="S64" s="483"/>
      <c r="T64" s="448"/>
      <c r="U64" s="483"/>
      <c r="V64" s="483"/>
      <c r="W64" s="451">
        <f>+X64+Y64</f>
        <v>1249.6100000000001</v>
      </c>
      <c r="X64" s="483">
        <v>1187.1300000000001</v>
      </c>
      <c r="Y64" s="483">
        <v>62.48</v>
      </c>
      <c r="Z64" s="451"/>
      <c r="AA64" s="451"/>
      <c r="AB64" s="15"/>
    </row>
    <row r="65" spans="1:31" ht="60" hidden="1">
      <c r="A65" s="8"/>
      <c r="B65" s="328" t="s">
        <v>1137</v>
      </c>
      <c r="C65" s="8"/>
      <c r="D65" s="8"/>
      <c r="E65" s="22"/>
      <c r="F65" s="8"/>
      <c r="G65" s="445"/>
      <c r="H65" s="445"/>
      <c r="I65" s="445"/>
      <c r="J65" s="451"/>
      <c r="K65" s="451"/>
      <c r="L65" s="451"/>
      <c r="M65" s="451"/>
      <c r="N65" s="445"/>
      <c r="O65" s="451"/>
      <c r="P65" s="451"/>
      <c r="Q65" s="451"/>
      <c r="R65" s="483"/>
      <c r="S65" s="483"/>
      <c r="T65" s="448">
        <f>+U65+V65</f>
        <v>1622.9</v>
      </c>
      <c r="U65" s="483">
        <v>1533.7</v>
      </c>
      <c r="V65" s="483">
        <v>89.2</v>
      </c>
      <c r="W65" s="451">
        <f t="shared" ref="W65:W68" si="50">+X65+Y65</f>
        <v>1277.0999999999997</v>
      </c>
      <c r="X65" s="483">
        <f>2784.7-1533.7</f>
        <v>1250.9999999999998</v>
      </c>
      <c r="Y65" s="483">
        <f>115.3-89.2</f>
        <v>26.099999999999994</v>
      </c>
      <c r="Z65" s="451"/>
      <c r="AA65" s="451"/>
      <c r="AB65" s="15"/>
    </row>
    <row r="66" spans="1:31" ht="30" hidden="1">
      <c r="A66" s="8"/>
      <c r="B66" s="328" t="s">
        <v>1138</v>
      </c>
      <c r="C66" s="8" t="s">
        <v>1141</v>
      </c>
      <c r="D66" s="8"/>
      <c r="E66" s="22"/>
      <c r="F66" s="8"/>
      <c r="G66" s="445"/>
      <c r="H66" s="445"/>
      <c r="I66" s="445"/>
      <c r="J66" s="451"/>
      <c r="K66" s="451"/>
      <c r="L66" s="451"/>
      <c r="M66" s="451"/>
      <c r="N66" s="445"/>
      <c r="O66" s="451"/>
      <c r="P66" s="451"/>
      <c r="Q66" s="451"/>
      <c r="R66" s="483"/>
      <c r="S66" s="483"/>
      <c r="T66" s="448"/>
      <c r="U66" s="483"/>
      <c r="V66" s="483"/>
      <c r="W66" s="451">
        <f t="shared" si="50"/>
        <v>400</v>
      </c>
      <c r="X66" s="483">
        <v>380</v>
      </c>
      <c r="Y66" s="483">
        <v>20</v>
      </c>
      <c r="Z66" s="451"/>
      <c r="AA66" s="451"/>
      <c r="AB66" s="15"/>
    </row>
    <row r="67" spans="1:31" ht="45" hidden="1">
      <c r="A67" s="8"/>
      <c r="B67" s="328" t="s">
        <v>1139</v>
      </c>
      <c r="C67" s="8" t="s">
        <v>145</v>
      </c>
      <c r="D67" s="8"/>
      <c r="E67" s="22"/>
      <c r="F67" s="8"/>
      <c r="G67" s="445"/>
      <c r="H67" s="445"/>
      <c r="I67" s="445"/>
      <c r="J67" s="451"/>
      <c r="K67" s="451"/>
      <c r="L67" s="451"/>
      <c r="M67" s="451"/>
      <c r="N67" s="445"/>
      <c r="O67" s="451"/>
      <c r="P67" s="451"/>
      <c r="Q67" s="451"/>
      <c r="R67" s="483"/>
      <c r="S67" s="483"/>
      <c r="T67" s="448"/>
      <c r="U67" s="483"/>
      <c r="V67" s="483"/>
      <c r="W67" s="451">
        <f t="shared" si="50"/>
        <v>400</v>
      </c>
      <c r="X67" s="483">
        <v>380</v>
      </c>
      <c r="Y67" s="483">
        <v>20</v>
      </c>
      <c r="Z67" s="451"/>
      <c r="AA67" s="451"/>
      <c r="AB67" s="15"/>
    </row>
    <row r="68" spans="1:31" ht="30" hidden="1">
      <c r="A68" s="8"/>
      <c r="B68" s="328" t="s">
        <v>1140</v>
      </c>
      <c r="C68" s="8" t="s">
        <v>140</v>
      </c>
      <c r="D68" s="8"/>
      <c r="E68" s="22"/>
      <c r="F68" s="8"/>
      <c r="G68" s="445"/>
      <c r="H68" s="445"/>
      <c r="I68" s="445"/>
      <c r="J68" s="451"/>
      <c r="K68" s="451"/>
      <c r="L68" s="451"/>
      <c r="M68" s="451"/>
      <c r="N68" s="445"/>
      <c r="O68" s="451"/>
      <c r="P68" s="451"/>
      <c r="Q68" s="451"/>
      <c r="R68" s="483"/>
      <c r="S68" s="483"/>
      <c r="T68" s="448"/>
      <c r="U68" s="483"/>
      <c r="V68" s="483"/>
      <c r="W68" s="451">
        <f t="shared" si="50"/>
        <v>359.7</v>
      </c>
      <c r="X68" s="483">
        <v>342.7</v>
      </c>
      <c r="Y68" s="483">
        <v>17</v>
      </c>
      <c r="Z68" s="451"/>
      <c r="AA68" s="451"/>
      <c r="AB68" s="15"/>
    </row>
    <row r="69" spans="1:31" s="14" customFormat="1" ht="23.25" customHeight="1">
      <c r="A69" s="4" t="s">
        <v>991</v>
      </c>
      <c r="B69" s="507" t="s">
        <v>148</v>
      </c>
      <c r="C69" s="418"/>
      <c r="D69" s="418"/>
      <c r="E69" s="417">
        <v>0</v>
      </c>
      <c r="F69" s="417"/>
      <c r="G69" s="446">
        <f>SUM(G70:G82)</f>
        <v>10103.24</v>
      </c>
      <c r="H69" s="446">
        <f>SUM(H70:H82)</f>
        <v>9621.49</v>
      </c>
      <c r="I69" s="446">
        <f>SUM(I70:I82)</f>
        <v>481.75</v>
      </c>
      <c r="J69" s="446">
        <f>SUM(J70:J82)</f>
        <v>0</v>
      </c>
      <c r="K69" s="446">
        <f t="shared" ref="K69:M69" si="51">SUM(K70:K82)</f>
        <v>6720.6643999999997</v>
      </c>
      <c r="L69" s="446">
        <f t="shared" si="51"/>
        <v>6372.0544</v>
      </c>
      <c r="M69" s="446">
        <f t="shared" si="51"/>
        <v>348.61</v>
      </c>
      <c r="N69" s="446">
        <f>SUM(N70:N82)</f>
        <v>1818.69</v>
      </c>
      <c r="O69" s="446">
        <f>SUM(O70:O82)</f>
        <v>1731.69</v>
      </c>
      <c r="P69" s="446">
        <f>SUM(P70:P82)</f>
        <v>87</v>
      </c>
      <c r="Q69" s="446">
        <f t="shared" ref="Q69:V69" si="52">SUM(Q70:Q82)</f>
        <v>2422.0244000000002</v>
      </c>
      <c r="R69" s="446">
        <f t="shared" si="52"/>
        <v>2296.6644000000001</v>
      </c>
      <c r="S69" s="446">
        <f t="shared" si="52"/>
        <v>125.36</v>
      </c>
      <c r="T69" s="446">
        <f t="shared" si="52"/>
        <v>2479.9499999999998</v>
      </c>
      <c r="U69" s="446">
        <f t="shared" si="52"/>
        <v>2343.6999999999998</v>
      </c>
      <c r="V69" s="446">
        <f t="shared" si="52"/>
        <v>136.25</v>
      </c>
      <c r="W69" s="446">
        <f>SUM(W70:W83)</f>
        <v>3382.5756000000001</v>
      </c>
      <c r="X69" s="446">
        <f t="shared" ref="X69:Y69" si="53">SUM(X70:X83)</f>
        <v>3249.4356000000002</v>
      </c>
      <c r="Y69" s="446">
        <f t="shared" si="53"/>
        <v>133.13999999999999</v>
      </c>
      <c r="Z69" s="446"/>
      <c r="AA69" s="446">
        <f>SUM(AA70:AA82)</f>
        <v>0</v>
      </c>
      <c r="AB69" s="16"/>
      <c r="AC69" s="368">
        <f>+'NĂM 2022'!K39+'NĂM 2023'!N35+'NĂM 2024'!J36+'NĂM 2025'!J35</f>
        <v>10103.240000000002</v>
      </c>
      <c r="AD69" s="368">
        <f>+'NĂM 2022'!L39+'NĂM 2023'!O35+'NĂM 2024'!K36+'NĂM 2025'!K35</f>
        <v>9621.4900000000016</v>
      </c>
      <c r="AE69" s="368">
        <f>+'NĂM 2022'!M39+'NĂM 2023'!P35+'NĂM 2024'!L36+'NĂM 2025'!L35</f>
        <v>481.75</v>
      </c>
    </row>
    <row r="70" spans="1:31" ht="75" hidden="1">
      <c r="A70" s="21">
        <v>1</v>
      </c>
      <c r="B70" s="329" t="s">
        <v>149</v>
      </c>
      <c r="C70" s="21" t="s">
        <v>150</v>
      </c>
      <c r="D70" s="21"/>
      <c r="E70" s="21" t="s">
        <v>151</v>
      </c>
      <c r="F70" s="21" t="s">
        <v>52</v>
      </c>
      <c r="G70" s="445">
        <f t="shared" si="14"/>
        <v>998</v>
      </c>
      <c r="H70" s="445">
        <v>950</v>
      </c>
      <c r="I70" s="445">
        <v>48</v>
      </c>
      <c r="J70" s="451"/>
      <c r="K70" s="451">
        <f>+L70+M70</f>
        <v>998</v>
      </c>
      <c r="L70" s="451">
        <f>+O70+R70+U70</f>
        <v>950</v>
      </c>
      <c r="M70" s="451">
        <f>+P70+S70+V70</f>
        <v>48</v>
      </c>
      <c r="N70" s="445">
        <f t="shared" si="8"/>
        <v>998</v>
      </c>
      <c r="O70" s="445">
        <v>950</v>
      </c>
      <c r="P70" s="445">
        <v>48</v>
      </c>
      <c r="Q70" s="445"/>
      <c r="R70" s="481"/>
      <c r="S70" s="481"/>
      <c r="T70" s="445"/>
      <c r="U70" s="481"/>
      <c r="V70" s="481"/>
      <c r="W70" s="445"/>
      <c r="X70" s="481"/>
      <c r="Y70" s="481"/>
      <c r="Z70" s="445"/>
      <c r="AA70" s="451"/>
      <c r="AB70" s="15"/>
      <c r="AC70" s="506">
        <f>+G69-K69</f>
        <v>3382.5756000000001</v>
      </c>
      <c r="AD70" s="506">
        <f>+H69-L69</f>
        <v>3249.4355999999998</v>
      </c>
      <c r="AE70" s="506">
        <f>+I69-M69</f>
        <v>133.13999999999999</v>
      </c>
    </row>
    <row r="71" spans="1:31" ht="45" hidden="1">
      <c r="A71" s="21">
        <f>+A70+1</f>
        <v>2</v>
      </c>
      <c r="B71" s="329" t="s">
        <v>152</v>
      </c>
      <c r="C71" s="21" t="s">
        <v>153</v>
      </c>
      <c r="D71" s="21"/>
      <c r="E71" s="21" t="s">
        <v>154</v>
      </c>
      <c r="F71" s="21" t="s">
        <v>52</v>
      </c>
      <c r="G71" s="445">
        <f t="shared" si="14"/>
        <v>820.69</v>
      </c>
      <c r="H71" s="445">
        <v>781.69</v>
      </c>
      <c r="I71" s="445">
        <v>39</v>
      </c>
      <c r="J71" s="451"/>
      <c r="K71" s="451">
        <f t="shared" ref="K71:K82" si="54">+L71+M71</f>
        <v>820.69</v>
      </c>
      <c r="L71" s="451">
        <f t="shared" ref="L71:L82" si="55">+O71+R71+U71</f>
        <v>781.69</v>
      </c>
      <c r="M71" s="451">
        <f t="shared" ref="M71:M82" si="56">+P71+S71+V71</f>
        <v>39</v>
      </c>
      <c r="N71" s="445">
        <f t="shared" si="8"/>
        <v>820.69</v>
      </c>
      <c r="O71" s="445">
        <v>781.69</v>
      </c>
      <c r="P71" s="445">
        <v>39</v>
      </c>
      <c r="Q71" s="445"/>
      <c r="R71" s="481"/>
      <c r="S71" s="481"/>
      <c r="T71" s="445"/>
      <c r="U71" s="481"/>
      <c r="V71" s="481"/>
      <c r="W71" s="445"/>
      <c r="X71" s="481"/>
      <c r="Y71" s="481"/>
      <c r="Z71" s="445"/>
      <c r="AA71" s="451"/>
      <c r="AB71" s="15"/>
      <c r="AC71" s="515">
        <f>+AC70-W69</f>
        <v>0</v>
      </c>
      <c r="AD71" s="515">
        <f t="shared" ref="AD71:AE71" si="57">+AD70-X69</f>
        <v>0</v>
      </c>
      <c r="AE71" s="506">
        <f t="shared" si="57"/>
        <v>0</v>
      </c>
    </row>
    <row r="72" spans="1:31" ht="75" hidden="1">
      <c r="A72" s="21">
        <f t="shared" ref="A72:A82" si="58">+A71+1</f>
        <v>3</v>
      </c>
      <c r="B72" s="329" t="s">
        <v>155</v>
      </c>
      <c r="C72" s="21" t="s">
        <v>156</v>
      </c>
      <c r="D72" s="21"/>
      <c r="E72" s="21" t="s">
        <v>151</v>
      </c>
      <c r="F72" s="21" t="s">
        <v>53</v>
      </c>
      <c r="G72" s="445">
        <f t="shared" si="14"/>
        <v>998</v>
      </c>
      <c r="H72" s="445">
        <v>950</v>
      </c>
      <c r="I72" s="445">
        <v>48</v>
      </c>
      <c r="J72" s="451"/>
      <c r="K72" s="451">
        <f t="shared" si="54"/>
        <v>816</v>
      </c>
      <c r="L72" s="451">
        <f t="shared" si="55"/>
        <v>774</v>
      </c>
      <c r="M72" s="451">
        <f t="shared" si="56"/>
        <v>42</v>
      </c>
      <c r="N72" s="445">
        <f t="shared" si="8"/>
        <v>0</v>
      </c>
      <c r="O72" s="451"/>
      <c r="P72" s="451"/>
      <c r="Q72" s="451">
        <f>+R72+S72</f>
        <v>816</v>
      </c>
      <c r="R72" s="483">
        <v>774</v>
      </c>
      <c r="S72" s="483">
        <v>42</v>
      </c>
      <c r="T72" s="451"/>
      <c r="U72" s="483"/>
      <c r="V72" s="483"/>
      <c r="W72" s="451"/>
      <c r="X72" s="483"/>
      <c r="Y72" s="483"/>
      <c r="Z72" s="451"/>
      <c r="AA72" s="451"/>
      <c r="AB72" s="15"/>
      <c r="AC72" s="513">
        <f>+AC70-W80-W81-W82</f>
        <v>648.77560000000017</v>
      </c>
      <c r="AD72" s="513">
        <f t="shared" ref="AD72:AE72" si="59">+AD70-X80-X81-X82</f>
        <v>642.63559999999984</v>
      </c>
      <c r="AE72" s="513">
        <f t="shared" si="59"/>
        <v>6.1399999999999864</v>
      </c>
    </row>
    <row r="73" spans="1:31" ht="75" hidden="1">
      <c r="A73" s="21">
        <f t="shared" si="58"/>
        <v>4</v>
      </c>
      <c r="B73" s="329" t="s">
        <v>157</v>
      </c>
      <c r="C73" s="21" t="s">
        <v>158</v>
      </c>
      <c r="D73" s="21"/>
      <c r="E73" s="8" t="s">
        <v>159</v>
      </c>
      <c r="F73" s="21" t="s">
        <v>53</v>
      </c>
      <c r="G73" s="445">
        <f t="shared" si="14"/>
        <v>499</v>
      </c>
      <c r="H73" s="445">
        <v>475</v>
      </c>
      <c r="I73" s="445">
        <v>24</v>
      </c>
      <c r="J73" s="451">
        <v>0</v>
      </c>
      <c r="K73" s="451">
        <f t="shared" si="54"/>
        <v>408</v>
      </c>
      <c r="L73" s="451">
        <f t="shared" si="55"/>
        <v>387</v>
      </c>
      <c r="M73" s="451">
        <f t="shared" si="56"/>
        <v>21</v>
      </c>
      <c r="N73" s="445">
        <f t="shared" si="8"/>
        <v>0</v>
      </c>
      <c r="O73" s="451"/>
      <c r="P73" s="451"/>
      <c r="Q73" s="451">
        <f t="shared" ref="Q73:Q75" si="60">+R73+S73</f>
        <v>408</v>
      </c>
      <c r="R73" s="483">
        <v>387</v>
      </c>
      <c r="S73" s="483">
        <v>21</v>
      </c>
      <c r="T73" s="451"/>
      <c r="U73" s="483"/>
      <c r="V73" s="483"/>
      <c r="W73" s="451"/>
      <c r="X73" s="483"/>
      <c r="Y73" s="483"/>
      <c r="Z73" s="451"/>
      <c r="AA73" s="451"/>
      <c r="AB73" s="15"/>
    </row>
    <row r="74" spans="1:31" ht="30" hidden="1">
      <c r="A74" s="21">
        <f t="shared" si="58"/>
        <v>5</v>
      </c>
      <c r="B74" s="329" t="s">
        <v>160</v>
      </c>
      <c r="C74" s="21" t="s">
        <v>161</v>
      </c>
      <c r="D74" s="21"/>
      <c r="E74" s="21" t="s">
        <v>162</v>
      </c>
      <c r="F74" s="21" t="s">
        <v>53</v>
      </c>
      <c r="G74" s="445">
        <f t="shared" si="14"/>
        <v>996</v>
      </c>
      <c r="H74" s="445">
        <v>950</v>
      </c>
      <c r="I74" s="445">
        <v>46</v>
      </c>
      <c r="J74" s="451">
        <v>0</v>
      </c>
      <c r="K74" s="451">
        <f t="shared" si="54"/>
        <v>789.1644</v>
      </c>
      <c r="L74" s="451">
        <f t="shared" si="55"/>
        <v>749.1644</v>
      </c>
      <c r="M74" s="451">
        <f t="shared" si="56"/>
        <v>40</v>
      </c>
      <c r="N74" s="445">
        <f t="shared" si="8"/>
        <v>0</v>
      </c>
      <c r="O74" s="451"/>
      <c r="P74" s="451"/>
      <c r="Q74" s="451">
        <f t="shared" si="60"/>
        <v>789.1644</v>
      </c>
      <c r="R74" s="483">
        <f>774-24.8356</f>
        <v>749.1644</v>
      </c>
      <c r="S74" s="483">
        <v>40</v>
      </c>
      <c r="T74" s="451"/>
      <c r="U74" s="483"/>
      <c r="V74" s="483"/>
      <c r="W74" s="451"/>
      <c r="X74" s="483"/>
      <c r="Y74" s="483"/>
      <c r="Z74" s="451"/>
      <c r="AA74" s="451"/>
      <c r="AB74" s="15"/>
    </row>
    <row r="75" spans="1:31" ht="30" hidden="1">
      <c r="A75" s="21">
        <f t="shared" si="58"/>
        <v>6</v>
      </c>
      <c r="B75" s="329" t="s">
        <v>163</v>
      </c>
      <c r="C75" s="21" t="s">
        <v>164</v>
      </c>
      <c r="D75" s="21"/>
      <c r="E75" s="21" t="s">
        <v>165</v>
      </c>
      <c r="F75" s="21" t="s">
        <v>53</v>
      </c>
      <c r="G75" s="445">
        <f t="shared" si="14"/>
        <v>499</v>
      </c>
      <c r="H75" s="445">
        <v>475</v>
      </c>
      <c r="I75" s="445">
        <v>24</v>
      </c>
      <c r="J75" s="451">
        <v>0</v>
      </c>
      <c r="K75" s="451">
        <f t="shared" si="54"/>
        <v>408.86</v>
      </c>
      <c r="L75" s="451">
        <f t="shared" si="55"/>
        <v>386.5</v>
      </c>
      <c r="M75" s="451">
        <f t="shared" si="56"/>
        <v>22.36</v>
      </c>
      <c r="N75" s="445">
        <f t="shared" si="8"/>
        <v>0</v>
      </c>
      <c r="O75" s="451"/>
      <c r="P75" s="451"/>
      <c r="Q75" s="451">
        <f t="shared" si="60"/>
        <v>408.86</v>
      </c>
      <c r="R75" s="483">
        <v>386.5</v>
      </c>
      <c r="S75" s="483">
        <v>22.36</v>
      </c>
      <c r="T75" s="451"/>
      <c r="U75" s="483"/>
      <c r="V75" s="483"/>
      <c r="W75" s="451"/>
      <c r="X75" s="483"/>
      <c r="Y75" s="483"/>
      <c r="Z75" s="451"/>
      <c r="AA75" s="451"/>
      <c r="AB75" s="15"/>
    </row>
    <row r="76" spans="1:31" ht="30" hidden="1">
      <c r="A76" s="21">
        <f t="shared" si="58"/>
        <v>7</v>
      </c>
      <c r="B76" s="329" t="s">
        <v>169</v>
      </c>
      <c r="C76" s="21" t="s">
        <v>170</v>
      </c>
      <c r="D76" s="21"/>
      <c r="E76" s="21" t="s">
        <v>171</v>
      </c>
      <c r="F76" s="21" t="s">
        <v>54</v>
      </c>
      <c r="G76" s="445">
        <f t="shared" si="14"/>
        <v>706</v>
      </c>
      <c r="H76" s="445">
        <v>672</v>
      </c>
      <c r="I76" s="445">
        <v>34</v>
      </c>
      <c r="J76" s="451">
        <v>0</v>
      </c>
      <c r="K76" s="451">
        <f t="shared" si="54"/>
        <v>627.20000000000005</v>
      </c>
      <c r="L76" s="451">
        <f t="shared" si="55"/>
        <v>582.70000000000005</v>
      </c>
      <c r="M76" s="451">
        <f t="shared" si="56"/>
        <v>44.5</v>
      </c>
      <c r="N76" s="445">
        <f t="shared" si="8"/>
        <v>0</v>
      </c>
      <c r="O76" s="451"/>
      <c r="P76" s="451"/>
      <c r="Q76" s="451"/>
      <c r="R76" s="483"/>
      <c r="S76" s="483"/>
      <c r="T76" s="451">
        <f t="shared" ref="T76" si="61">+U76+V76</f>
        <v>627.20000000000005</v>
      </c>
      <c r="U76" s="483">
        <v>582.70000000000005</v>
      </c>
      <c r="V76" s="483">
        <v>44.5</v>
      </c>
      <c r="W76" s="451"/>
      <c r="X76" s="483"/>
      <c r="Y76" s="483"/>
      <c r="Z76" s="451"/>
      <c r="AA76" s="451"/>
      <c r="AB76" s="15"/>
    </row>
    <row r="77" spans="1:31" s="504" customFormat="1" ht="60" hidden="1">
      <c r="A77" s="21">
        <f t="shared" si="58"/>
        <v>8</v>
      </c>
      <c r="B77" s="500" t="s">
        <v>1125</v>
      </c>
      <c r="C77" s="499" t="s">
        <v>1126</v>
      </c>
      <c r="D77" s="499"/>
      <c r="E77" s="499" t="s">
        <v>174</v>
      </c>
      <c r="F77" s="499" t="s">
        <v>54</v>
      </c>
      <c r="G77" s="501">
        <f t="shared" si="14"/>
        <v>1420.25</v>
      </c>
      <c r="H77" s="501">
        <v>1351</v>
      </c>
      <c r="I77" s="501">
        <v>69.25</v>
      </c>
      <c r="J77" s="466">
        <v>0</v>
      </c>
      <c r="K77" s="451">
        <f t="shared" si="54"/>
        <v>1420.25</v>
      </c>
      <c r="L77" s="451">
        <f t="shared" si="55"/>
        <v>1351</v>
      </c>
      <c r="M77" s="451">
        <f t="shared" si="56"/>
        <v>69.25</v>
      </c>
      <c r="N77" s="445">
        <f t="shared" si="8"/>
        <v>0</v>
      </c>
      <c r="O77" s="466"/>
      <c r="P77" s="466"/>
      <c r="Q77" s="466"/>
      <c r="R77" s="466"/>
      <c r="S77" s="466"/>
      <c r="T77" s="466">
        <f t="shared" ref="T77:T79" si="62">+U77+V77</f>
        <v>1420.25</v>
      </c>
      <c r="U77" s="466">
        <v>1351</v>
      </c>
      <c r="V77" s="466">
        <v>69.25</v>
      </c>
      <c r="W77" s="466"/>
      <c r="X77" s="466"/>
      <c r="Y77" s="466"/>
      <c r="Z77" s="466"/>
      <c r="AA77" s="466"/>
      <c r="AB77" s="502"/>
      <c r="AC77" s="503"/>
      <c r="AD77" s="503"/>
      <c r="AE77" s="503"/>
    </row>
    <row r="78" spans="1:31" s="504" customFormat="1" ht="30" hidden="1">
      <c r="A78" s="21">
        <f t="shared" si="58"/>
        <v>9</v>
      </c>
      <c r="B78" s="500" t="s">
        <v>1127</v>
      </c>
      <c r="C78" s="499" t="s">
        <v>1128</v>
      </c>
      <c r="D78" s="499"/>
      <c r="E78" s="499" t="s">
        <v>176</v>
      </c>
      <c r="F78" s="499" t="s">
        <v>54</v>
      </c>
      <c r="G78" s="501">
        <f t="shared" si="14"/>
        <v>158.5</v>
      </c>
      <c r="H78" s="501">
        <v>150</v>
      </c>
      <c r="I78" s="501">
        <v>8.5</v>
      </c>
      <c r="J78" s="466">
        <v>0</v>
      </c>
      <c r="K78" s="451">
        <f t="shared" si="54"/>
        <v>158.5</v>
      </c>
      <c r="L78" s="451">
        <f t="shared" si="55"/>
        <v>150</v>
      </c>
      <c r="M78" s="451">
        <f t="shared" si="56"/>
        <v>8.5</v>
      </c>
      <c r="N78" s="445">
        <f t="shared" si="8"/>
        <v>0</v>
      </c>
      <c r="O78" s="466"/>
      <c r="P78" s="466"/>
      <c r="Q78" s="466"/>
      <c r="R78" s="466"/>
      <c r="S78" s="466"/>
      <c r="T78" s="466">
        <f t="shared" si="62"/>
        <v>158.5</v>
      </c>
      <c r="U78" s="466">
        <v>150</v>
      </c>
      <c r="V78" s="466">
        <v>8.5</v>
      </c>
      <c r="W78" s="466"/>
      <c r="X78" s="466"/>
      <c r="Y78" s="466"/>
      <c r="Z78" s="466"/>
      <c r="AA78" s="466"/>
      <c r="AB78" s="502"/>
      <c r="AC78" s="503"/>
      <c r="AD78" s="503"/>
      <c r="AE78" s="503"/>
    </row>
    <row r="79" spans="1:31" s="504" customFormat="1" ht="75" hidden="1">
      <c r="A79" s="21">
        <f t="shared" si="58"/>
        <v>10</v>
      </c>
      <c r="B79" s="500" t="s">
        <v>1129</v>
      </c>
      <c r="C79" s="499" t="s">
        <v>173</v>
      </c>
      <c r="D79" s="499"/>
      <c r="E79" s="134" t="s">
        <v>178</v>
      </c>
      <c r="F79" s="499" t="s">
        <v>54</v>
      </c>
      <c r="G79" s="501">
        <f t="shared" si="14"/>
        <v>274</v>
      </c>
      <c r="H79" s="501">
        <v>260</v>
      </c>
      <c r="I79" s="501">
        <v>14</v>
      </c>
      <c r="J79" s="466">
        <v>0</v>
      </c>
      <c r="K79" s="451">
        <f t="shared" si="54"/>
        <v>274</v>
      </c>
      <c r="L79" s="451">
        <f t="shared" si="55"/>
        <v>260</v>
      </c>
      <c r="M79" s="451">
        <f t="shared" si="56"/>
        <v>14</v>
      </c>
      <c r="N79" s="445">
        <f t="shared" si="8"/>
        <v>0</v>
      </c>
      <c r="O79" s="466"/>
      <c r="P79" s="466"/>
      <c r="Q79" s="466"/>
      <c r="R79" s="466"/>
      <c r="S79" s="466"/>
      <c r="T79" s="466">
        <f t="shared" si="62"/>
        <v>274</v>
      </c>
      <c r="U79" s="466">
        <v>260</v>
      </c>
      <c r="V79" s="466">
        <v>14</v>
      </c>
      <c r="W79" s="466"/>
      <c r="X79" s="466"/>
      <c r="Y79" s="466"/>
      <c r="Z79" s="466"/>
      <c r="AA79" s="466"/>
      <c r="AB79" s="502"/>
      <c r="AC79" s="503"/>
      <c r="AD79" s="503"/>
      <c r="AE79" s="503"/>
    </row>
    <row r="80" spans="1:31" ht="30" hidden="1">
      <c r="A80" s="21">
        <f t="shared" si="58"/>
        <v>11</v>
      </c>
      <c r="B80" s="329" t="s">
        <v>179</v>
      </c>
      <c r="C80" s="21" t="s">
        <v>58</v>
      </c>
      <c r="D80" s="21"/>
      <c r="E80" s="21" t="s">
        <v>180</v>
      </c>
      <c r="F80" s="21" t="s">
        <v>55</v>
      </c>
      <c r="G80" s="445">
        <f t="shared" si="14"/>
        <v>996</v>
      </c>
      <c r="H80" s="445">
        <v>950</v>
      </c>
      <c r="I80" s="445">
        <v>46</v>
      </c>
      <c r="J80" s="451">
        <v>0</v>
      </c>
      <c r="K80" s="451">
        <f t="shared" si="54"/>
        <v>0</v>
      </c>
      <c r="L80" s="451">
        <f t="shared" si="55"/>
        <v>0</v>
      </c>
      <c r="M80" s="451">
        <f t="shared" si="56"/>
        <v>0</v>
      </c>
      <c r="N80" s="445">
        <f t="shared" si="8"/>
        <v>0</v>
      </c>
      <c r="O80" s="451"/>
      <c r="P80" s="451"/>
      <c r="Q80" s="451"/>
      <c r="R80" s="483"/>
      <c r="S80" s="483"/>
      <c r="T80" s="451"/>
      <c r="U80" s="483"/>
      <c r="V80" s="483"/>
      <c r="W80" s="445">
        <f t="shared" ref="W80:W83" si="63">X80+Y80</f>
        <v>996</v>
      </c>
      <c r="X80" s="445">
        <v>950</v>
      </c>
      <c r="Y80" s="445">
        <v>46</v>
      </c>
      <c r="Z80" s="451"/>
      <c r="AA80" s="451"/>
      <c r="AB80" s="15"/>
    </row>
    <row r="81" spans="1:31" ht="75" hidden="1">
      <c r="A81" s="21">
        <f t="shared" si="58"/>
        <v>12</v>
      </c>
      <c r="B81" s="329" t="s">
        <v>181</v>
      </c>
      <c r="C81" s="21" t="s">
        <v>182</v>
      </c>
      <c r="D81" s="21"/>
      <c r="E81" s="21" t="s">
        <v>151</v>
      </c>
      <c r="F81" s="21" t="s">
        <v>55</v>
      </c>
      <c r="G81" s="445">
        <f t="shared" si="14"/>
        <v>996</v>
      </c>
      <c r="H81" s="445">
        <v>950</v>
      </c>
      <c r="I81" s="445">
        <v>46</v>
      </c>
      <c r="J81" s="451">
        <v>0</v>
      </c>
      <c r="K81" s="451">
        <f t="shared" si="54"/>
        <v>0</v>
      </c>
      <c r="L81" s="451">
        <f t="shared" si="55"/>
        <v>0</v>
      </c>
      <c r="M81" s="451">
        <f t="shared" si="56"/>
        <v>0</v>
      </c>
      <c r="N81" s="445">
        <f t="shared" si="8"/>
        <v>0</v>
      </c>
      <c r="O81" s="451"/>
      <c r="P81" s="451"/>
      <c r="Q81" s="451"/>
      <c r="R81" s="483"/>
      <c r="S81" s="483"/>
      <c r="T81" s="451"/>
      <c r="U81" s="483"/>
      <c r="V81" s="483"/>
      <c r="W81" s="445">
        <f t="shared" si="63"/>
        <v>996</v>
      </c>
      <c r="X81" s="445">
        <v>950</v>
      </c>
      <c r="Y81" s="445">
        <v>46</v>
      </c>
      <c r="Z81" s="451"/>
      <c r="AA81" s="451"/>
      <c r="AB81" s="15"/>
    </row>
    <row r="82" spans="1:31" ht="75" hidden="1">
      <c r="A82" s="21">
        <f t="shared" si="58"/>
        <v>13</v>
      </c>
      <c r="B82" s="329" t="s">
        <v>183</v>
      </c>
      <c r="C82" s="21" t="s">
        <v>184</v>
      </c>
      <c r="D82" s="21"/>
      <c r="E82" s="21" t="s">
        <v>151</v>
      </c>
      <c r="F82" s="21" t="s">
        <v>55</v>
      </c>
      <c r="G82" s="445">
        <f t="shared" si="14"/>
        <v>741.8</v>
      </c>
      <c r="H82" s="445">
        <v>706.8</v>
      </c>
      <c r="I82" s="445">
        <v>35</v>
      </c>
      <c r="J82" s="451">
        <v>0</v>
      </c>
      <c r="K82" s="451">
        <f t="shared" si="54"/>
        <v>0</v>
      </c>
      <c r="L82" s="451">
        <f t="shared" si="55"/>
        <v>0</v>
      </c>
      <c r="M82" s="451">
        <f t="shared" si="56"/>
        <v>0</v>
      </c>
      <c r="N82" s="445">
        <f t="shared" si="8"/>
        <v>0</v>
      </c>
      <c r="O82" s="451"/>
      <c r="P82" s="451"/>
      <c r="Q82" s="451"/>
      <c r="R82" s="483"/>
      <c r="S82" s="483"/>
      <c r="T82" s="451"/>
      <c r="U82" s="483"/>
      <c r="V82" s="483"/>
      <c r="W82" s="445">
        <f t="shared" si="63"/>
        <v>741.8</v>
      </c>
      <c r="X82" s="445">
        <v>706.8</v>
      </c>
      <c r="Y82" s="445">
        <v>35</v>
      </c>
      <c r="Z82" s="451"/>
      <c r="AA82" s="451"/>
      <c r="AB82" s="15"/>
    </row>
    <row r="83" spans="1:31" ht="30" hidden="1">
      <c r="A83" s="21"/>
      <c r="B83" s="329" t="s">
        <v>1142</v>
      </c>
      <c r="C83" s="21" t="s">
        <v>1143</v>
      </c>
      <c r="D83" s="21"/>
      <c r="E83" s="21"/>
      <c r="F83" s="21" t="s">
        <v>55</v>
      </c>
      <c r="G83" s="445"/>
      <c r="H83" s="445"/>
      <c r="I83" s="445"/>
      <c r="J83" s="451"/>
      <c r="K83" s="451"/>
      <c r="L83" s="451"/>
      <c r="M83" s="451"/>
      <c r="N83" s="445"/>
      <c r="O83" s="451"/>
      <c r="P83" s="451"/>
      <c r="Q83" s="451"/>
      <c r="R83" s="483"/>
      <c r="S83" s="483"/>
      <c r="T83" s="451"/>
      <c r="U83" s="483"/>
      <c r="V83" s="483"/>
      <c r="W83" s="445">
        <f t="shared" si="63"/>
        <v>648.77559999999994</v>
      </c>
      <c r="X83" s="483">
        <v>642.63559999999995</v>
      </c>
      <c r="Y83" s="483">
        <v>6.14</v>
      </c>
      <c r="Z83" s="451"/>
      <c r="AA83" s="451"/>
      <c r="AB83" s="15"/>
    </row>
    <row r="84" spans="1:31" s="14" customFormat="1" ht="23.25" customHeight="1">
      <c r="A84" s="4" t="s">
        <v>992</v>
      </c>
      <c r="B84" s="507" t="s">
        <v>186</v>
      </c>
      <c r="C84" s="418"/>
      <c r="D84" s="418"/>
      <c r="E84" s="417">
        <v>0</v>
      </c>
      <c r="F84" s="417"/>
      <c r="G84" s="446">
        <f t="shared" ref="G84:V84" si="64">SUM(G85:G103)</f>
        <v>10075.5</v>
      </c>
      <c r="H84" s="446">
        <f t="shared" si="64"/>
        <v>9595.69</v>
      </c>
      <c r="I84" s="446">
        <f t="shared" si="64"/>
        <v>479.81000000000006</v>
      </c>
      <c r="J84" s="446">
        <f t="shared" si="64"/>
        <v>0</v>
      </c>
      <c r="K84" s="446">
        <f t="shared" si="64"/>
        <v>6717.5758400000004</v>
      </c>
      <c r="L84" s="446">
        <f t="shared" si="64"/>
        <v>6370.3658400000004</v>
      </c>
      <c r="M84" s="446">
        <f t="shared" si="64"/>
        <v>347.21</v>
      </c>
      <c r="N84" s="446">
        <f t="shared" si="64"/>
        <v>1813.4</v>
      </c>
      <c r="O84" s="446">
        <f t="shared" si="64"/>
        <v>1727.04</v>
      </c>
      <c r="P84" s="446">
        <f t="shared" si="64"/>
        <v>86.36</v>
      </c>
      <c r="Q84" s="446">
        <f t="shared" si="64"/>
        <v>2430.8758399999997</v>
      </c>
      <c r="R84" s="446">
        <f t="shared" si="64"/>
        <v>2305.9258399999999</v>
      </c>
      <c r="S84" s="446">
        <f t="shared" si="64"/>
        <v>124.95</v>
      </c>
      <c r="T84" s="446">
        <f t="shared" si="64"/>
        <v>2473.3000000000002</v>
      </c>
      <c r="U84" s="446">
        <f t="shared" si="64"/>
        <v>2337.4</v>
      </c>
      <c r="V84" s="446">
        <f t="shared" si="64"/>
        <v>135.9</v>
      </c>
      <c r="W84" s="446">
        <f>SUM(W85:W104)</f>
        <v>3348.5499999999997</v>
      </c>
      <c r="X84" s="446">
        <f>SUM(X85:X104)</f>
        <v>3215.95</v>
      </c>
      <c r="Y84" s="446">
        <f>SUM(Y85:Y104)</f>
        <v>132.6</v>
      </c>
      <c r="Z84" s="446"/>
      <c r="AA84" s="446">
        <f>SUM(AA85:AA103)</f>
        <v>0</v>
      </c>
      <c r="AB84" s="16"/>
      <c r="AC84" s="368">
        <f>+'NĂM 2022'!K42+'NĂM 2023'!N40+'NĂM 2024'!J42+'NĂM 2025'!J39</f>
        <v>10075.540000000001</v>
      </c>
      <c r="AD84" s="368">
        <f>+'NĂM 2022'!L42+'NĂM 2023'!O40+'NĂM 2024'!K42+'NĂM 2025'!K39</f>
        <v>9595.74</v>
      </c>
      <c r="AE84" s="368">
        <f>+'NĂM 2022'!M42+'NĂM 2023'!P40+'NĂM 2024'!L42+'NĂM 2025'!L39</f>
        <v>479.8</v>
      </c>
    </row>
    <row r="85" spans="1:31" s="146" customFormat="1" ht="75" hidden="1">
      <c r="A85" s="141">
        <v>1</v>
      </c>
      <c r="B85" s="330" t="s">
        <v>187</v>
      </c>
      <c r="C85" s="141" t="s">
        <v>188</v>
      </c>
      <c r="D85" s="141"/>
      <c r="E85" s="141" t="s">
        <v>189</v>
      </c>
      <c r="F85" s="142" t="s">
        <v>52</v>
      </c>
      <c r="G85" s="447">
        <f t="shared" si="14"/>
        <v>395.85</v>
      </c>
      <c r="H85" s="447">
        <v>377</v>
      </c>
      <c r="I85" s="447">
        <v>18.850000000000001</v>
      </c>
      <c r="J85" s="448"/>
      <c r="K85" s="448">
        <f>+L85+M85</f>
        <v>395.85</v>
      </c>
      <c r="L85" s="448">
        <f>+O85+R85+U85</f>
        <v>377</v>
      </c>
      <c r="M85" s="448">
        <f>+P85+S85+V85</f>
        <v>18.850000000000001</v>
      </c>
      <c r="N85" s="445">
        <f t="shared" si="8"/>
        <v>395.85</v>
      </c>
      <c r="O85" s="447">
        <v>377</v>
      </c>
      <c r="P85" s="447">
        <v>18.850000000000001</v>
      </c>
      <c r="Q85" s="447"/>
      <c r="R85" s="481"/>
      <c r="S85" s="481"/>
      <c r="T85" s="447"/>
      <c r="U85" s="481"/>
      <c r="V85" s="481"/>
      <c r="W85" s="447"/>
      <c r="X85" s="481"/>
      <c r="Y85" s="481"/>
      <c r="Z85" s="447"/>
      <c r="AA85" s="448"/>
      <c r="AB85" s="145"/>
      <c r="AC85" s="369">
        <f>+G84-K84</f>
        <v>3357.9241599999996</v>
      </c>
      <c r="AD85" s="369">
        <f>+H84-L84</f>
        <v>3225.3241600000001</v>
      </c>
      <c r="AE85" s="369">
        <f>+I84-M84</f>
        <v>132.60000000000008</v>
      </c>
    </row>
    <row r="86" spans="1:31" s="146" customFormat="1" ht="75" hidden="1">
      <c r="A86" s="141">
        <v>2</v>
      </c>
      <c r="B86" s="331" t="s">
        <v>190</v>
      </c>
      <c r="C86" s="147" t="s">
        <v>191</v>
      </c>
      <c r="D86" s="147"/>
      <c r="E86" s="147" t="s">
        <v>192</v>
      </c>
      <c r="F86" s="142" t="s">
        <v>52</v>
      </c>
      <c r="G86" s="447">
        <f t="shared" si="14"/>
        <v>577.5</v>
      </c>
      <c r="H86" s="447">
        <v>550</v>
      </c>
      <c r="I86" s="447">
        <v>27.5</v>
      </c>
      <c r="J86" s="448"/>
      <c r="K86" s="448">
        <f t="shared" ref="K86:K103" si="65">+L86+M86</f>
        <v>577.5</v>
      </c>
      <c r="L86" s="448">
        <f t="shared" ref="L86:L103" si="66">+O86+R86+U86</f>
        <v>550</v>
      </c>
      <c r="M86" s="448">
        <f t="shared" ref="M86:M103" si="67">+P86+S86+V86</f>
        <v>27.5</v>
      </c>
      <c r="N86" s="445">
        <f t="shared" si="8"/>
        <v>577.5</v>
      </c>
      <c r="O86" s="447">
        <v>550</v>
      </c>
      <c r="P86" s="447">
        <v>27.5</v>
      </c>
      <c r="Q86" s="447"/>
      <c r="R86" s="481"/>
      <c r="S86" s="481"/>
      <c r="T86" s="447"/>
      <c r="U86" s="481"/>
      <c r="V86" s="481"/>
      <c r="W86" s="447"/>
      <c r="X86" s="481"/>
      <c r="Y86" s="481"/>
      <c r="Z86" s="447"/>
      <c r="AA86" s="448"/>
      <c r="AB86" s="145"/>
      <c r="AC86" s="465">
        <f>+AC85-W84</f>
        <v>9.3741599999998471</v>
      </c>
      <c r="AD86" s="465">
        <f t="shared" ref="AD86:AE86" si="68">+AD85-X84</f>
        <v>9.3741600000003018</v>
      </c>
      <c r="AE86" s="465">
        <f t="shared" si="68"/>
        <v>0</v>
      </c>
    </row>
    <row r="87" spans="1:31" s="146" customFormat="1" ht="75" hidden="1">
      <c r="A87" s="141">
        <v>3</v>
      </c>
      <c r="B87" s="330" t="s">
        <v>193</v>
      </c>
      <c r="C87" s="141" t="s">
        <v>194</v>
      </c>
      <c r="D87" s="141"/>
      <c r="E87" s="141" t="s">
        <v>110</v>
      </c>
      <c r="F87" s="142" t="s">
        <v>52</v>
      </c>
      <c r="G87" s="447">
        <f t="shared" si="14"/>
        <v>840.05</v>
      </c>
      <c r="H87" s="447">
        <v>800.04</v>
      </c>
      <c r="I87" s="447">
        <v>40.01</v>
      </c>
      <c r="J87" s="448"/>
      <c r="K87" s="448">
        <f t="shared" si="65"/>
        <v>840.05</v>
      </c>
      <c r="L87" s="448">
        <f t="shared" si="66"/>
        <v>800.04</v>
      </c>
      <c r="M87" s="448">
        <f t="shared" si="67"/>
        <v>40.01</v>
      </c>
      <c r="N87" s="445">
        <f t="shared" si="8"/>
        <v>840.05</v>
      </c>
      <c r="O87" s="447">
        <v>800.04</v>
      </c>
      <c r="P87" s="447">
        <v>40.01</v>
      </c>
      <c r="Q87" s="447"/>
      <c r="R87" s="481"/>
      <c r="S87" s="481"/>
      <c r="T87" s="447"/>
      <c r="U87" s="481"/>
      <c r="V87" s="481"/>
      <c r="W87" s="447"/>
      <c r="X87" s="481"/>
      <c r="Y87" s="481"/>
      <c r="Z87" s="447"/>
      <c r="AA87" s="448"/>
      <c r="AB87" s="145"/>
      <c r="AC87" s="369"/>
      <c r="AD87" s="369"/>
      <c r="AE87" s="369"/>
    </row>
    <row r="88" spans="1:31" ht="75" hidden="1">
      <c r="A88" s="8">
        <v>4</v>
      </c>
      <c r="B88" s="328" t="s">
        <v>195</v>
      </c>
      <c r="C88" s="8" t="s">
        <v>196</v>
      </c>
      <c r="D88" s="8"/>
      <c r="E88" s="22" t="s">
        <v>798</v>
      </c>
      <c r="F88" s="21" t="s">
        <v>53</v>
      </c>
      <c r="G88" s="445">
        <f t="shared" si="14"/>
        <v>414.75</v>
      </c>
      <c r="H88" s="445">
        <v>395</v>
      </c>
      <c r="I88" s="445">
        <f>H88*5%</f>
        <v>19.75</v>
      </c>
      <c r="J88" s="451"/>
      <c r="K88" s="448">
        <f t="shared" si="65"/>
        <v>268.75</v>
      </c>
      <c r="L88" s="448">
        <f t="shared" si="66"/>
        <v>255</v>
      </c>
      <c r="M88" s="448">
        <f t="shared" si="67"/>
        <v>13.75</v>
      </c>
      <c r="N88" s="445">
        <f t="shared" si="8"/>
        <v>0</v>
      </c>
      <c r="O88" s="451"/>
      <c r="P88" s="451"/>
      <c r="Q88" s="451">
        <f>+R88+S88</f>
        <v>268.75</v>
      </c>
      <c r="R88" s="483">
        <v>255</v>
      </c>
      <c r="S88" s="483">
        <v>13.75</v>
      </c>
      <c r="T88" s="451"/>
      <c r="U88" s="483"/>
      <c r="V88" s="483"/>
      <c r="W88" s="451"/>
      <c r="X88" s="483"/>
      <c r="Y88" s="483"/>
      <c r="Z88" s="451"/>
      <c r="AA88" s="451"/>
      <c r="AB88" s="8"/>
    </row>
    <row r="89" spans="1:31" ht="75" hidden="1">
      <c r="A89" s="8">
        <v>5</v>
      </c>
      <c r="B89" s="328" t="s">
        <v>198</v>
      </c>
      <c r="C89" s="8" t="s">
        <v>199</v>
      </c>
      <c r="D89" s="8"/>
      <c r="E89" s="22" t="s">
        <v>200</v>
      </c>
      <c r="F89" s="21" t="s">
        <v>53</v>
      </c>
      <c r="G89" s="445">
        <f t="shared" ref="G89:G162" si="69">H89+I89</f>
        <v>1575</v>
      </c>
      <c r="H89" s="445">
        <v>1500</v>
      </c>
      <c r="I89" s="445">
        <v>75</v>
      </c>
      <c r="J89" s="451">
        <v>0</v>
      </c>
      <c r="K89" s="448">
        <f t="shared" si="65"/>
        <v>1518.9258399999999</v>
      </c>
      <c r="L89" s="448">
        <f t="shared" si="66"/>
        <v>1440.6258399999999</v>
      </c>
      <c r="M89" s="448">
        <f t="shared" si="67"/>
        <v>78.3</v>
      </c>
      <c r="N89" s="445">
        <f t="shared" ref="N89:N162" si="70">O89+P89</f>
        <v>0</v>
      </c>
      <c r="O89" s="451"/>
      <c r="P89" s="451"/>
      <c r="Q89" s="451">
        <f>+R89+S89</f>
        <v>1518.9258399999999</v>
      </c>
      <c r="R89" s="483">
        <f>1450-9.37416</f>
        <v>1440.6258399999999</v>
      </c>
      <c r="S89" s="483">
        <v>78.3</v>
      </c>
      <c r="T89" s="451"/>
      <c r="U89" s="483"/>
      <c r="V89" s="483"/>
      <c r="W89" s="451"/>
      <c r="X89" s="483"/>
      <c r="Y89" s="483"/>
      <c r="Z89" s="451"/>
      <c r="AA89" s="451"/>
      <c r="AB89" s="8"/>
    </row>
    <row r="90" spans="1:31" ht="30" hidden="1">
      <c r="A90" s="8">
        <v>6</v>
      </c>
      <c r="B90" s="328" t="s">
        <v>799</v>
      </c>
      <c r="C90" s="8" t="s">
        <v>800</v>
      </c>
      <c r="D90" s="8"/>
      <c r="E90" s="8" t="s">
        <v>801</v>
      </c>
      <c r="F90" s="21" t="s">
        <v>53</v>
      </c>
      <c r="G90" s="445">
        <f>H90+I90</f>
        <v>504</v>
      </c>
      <c r="H90" s="445">
        <v>480</v>
      </c>
      <c r="I90" s="445">
        <f>H90*5%</f>
        <v>24</v>
      </c>
      <c r="J90" s="451"/>
      <c r="K90" s="448">
        <f t="shared" si="65"/>
        <v>400.5</v>
      </c>
      <c r="L90" s="448">
        <f t="shared" si="66"/>
        <v>380</v>
      </c>
      <c r="M90" s="448">
        <f t="shared" si="67"/>
        <v>20.5</v>
      </c>
      <c r="N90" s="445">
        <f t="shared" si="70"/>
        <v>0</v>
      </c>
      <c r="O90" s="451"/>
      <c r="P90" s="451"/>
      <c r="Q90" s="451">
        <f>+R90+S90</f>
        <v>400.5</v>
      </c>
      <c r="R90" s="483">
        <v>380</v>
      </c>
      <c r="S90" s="483">
        <v>20.5</v>
      </c>
      <c r="T90" s="451"/>
      <c r="U90" s="483"/>
      <c r="V90" s="483"/>
      <c r="W90" s="451"/>
      <c r="X90" s="483"/>
      <c r="Y90" s="483"/>
      <c r="Z90" s="451"/>
      <c r="AA90" s="451"/>
      <c r="AB90" s="15"/>
    </row>
    <row r="91" spans="1:31" ht="75" hidden="1">
      <c r="A91" s="8">
        <v>7</v>
      </c>
      <c r="B91" s="328" t="s">
        <v>209</v>
      </c>
      <c r="C91" s="8" t="s">
        <v>210</v>
      </c>
      <c r="D91" s="8"/>
      <c r="E91" s="8" t="s">
        <v>211</v>
      </c>
      <c r="F91" s="21" t="s">
        <v>53</v>
      </c>
      <c r="G91" s="445">
        <f>H91+I91</f>
        <v>315</v>
      </c>
      <c r="H91" s="445">
        <v>300</v>
      </c>
      <c r="I91" s="445">
        <f>H91*5%</f>
        <v>15</v>
      </c>
      <c r="J91" s="451"/>
      <c r="K91" s="448">
        <f t="shared" si="65"/>
        <v>242.70000000000002</v>
      </c>
      <c r="L91" s="448">
        <f t="shared" si="66"/>
        <v>230.3</v>
      </c>
      <c r="M91" s="448">
        <f t="shared" si="67"/>
        <v>12.4</v>
      </c>
      <c r="N91" s="445"/>
      <c r="O91" s="451"/>
      <c r="P91" s="451"/>
      <c r="Q91" s="451">
        <f>+R91+S91</f>
        <v>242.70000000000002</v>
      </c>
      <c r="R91" s="483">
        <v>230.3</v>
      </c>
      <c r="S91" s="483">
        <v>12.4</v>
      </c>
      <c r="T91" s="451"/>
      <c r="U91" s="483"/>
      <c r="V91" s="483"/>
      <c r="W91" s="451"/>
      <c r="X91" s="483"/>
      <c r="Y91" s="483"/>
      <c r="Z91" s="451"/>
      <c r="AA91" s="451"/>
      <c r="AB91" s="15"/>
    </row>
    <row r="92" spans="1:31" ht="45" hidden="1">
      <c r="A92" s="8">
        <v>8</v>
      </c>
      <c r="B92" s="328" t="s">
        <v>203</v>
      </c>
      <c r="C92" s="8" t="s">
        <v>204</v>
      </c>
      <c r="D92" s="8"/>
      <c r="E92" s="8" t="s">
        <v>205</v>
      </c>
      <c r="F92" s="21" t="s">
        <v>54</v>
      </c>
      <c r="G92" s="445">
        <f t="shared" si="69"/>
        <v>630</v>
      </c>
      <c r="H92" s="445">
        <v>600</v>
      </c>
      <c r="I92" s="445">
        <f>H92*5%</f>
        <v>30</v>
      </c>
      <c r="J92" s="451">
        <v>0</v>
      </c>
      <c r="K92" s="448">
        <f t="shared" si="65"/>
        <v>450</v>
      </c>
      <c r="L92" s="448">
        <f t="shared" si="66"/>
        <v>425.3</v>
      </c>
      <c r="M92" s="448">
        <f t="shared" si="67"/>
        <v>24.7</v>
      </c>
      <c r="N92" s="445">
        <f t="shared" si="70"/>
        <v>0</v>
      </c>
      <c r="O92" s="451"/>
      <c r="P92" s="451"/>
      <c r="Q92" s="451"/>
      <c r="R92" s="483"/>
      <c r="S92" s="483"/>
      <c r="T92" s="451">
        <f>+U92+V92</f>
        <v>450</v>
      </c>
      <c r="U92" s="483">
        <v>425.3</v>
      </c>
      <c r="V92" s="483">
        <v>24.7</v>
      </c>
      <c r="W92" s="451"/>
      <c r="X92" s="483"/>
      <c r="Y92" s="483"/>
      <c r="Z92" s="451"/>
      <c r="AA92" s="451"/>
      <c r="AB92" s="8"/>
    </row>
    <row r="93" spans="1:31" ht="75" hidden="1">
      <c r="A93" s="8">
        <v>9</v>
      </c>
      <c r="B93" s="360" t="s">
        <v>206</v>
      </c>
      <c r="C93" s="8" t="s">
        <v>196</v>
      </c>
      <c r="D93" s="8"/>
      <c r="E93" s="8" t="s">
        <v>178</v>
      </c>
      <c r="F93" s="21" t="s">
        <v>54</v>
      </c>
      <c r="G93" s="445">
        <f t="shared" si="69"/>
        <v>210</v>
      </c>
      <c r="H93" s="445">
        <v>200</v>
      </c>
      <c r="I93" s="445">
        <v>10</v>
      </c>
      <c r="J93" s="451"/>
      <c r="K93" s="448">
        <f t="shared" ref="K93:K96" si="71">+L93+M93</f>
        <v>210</v>
      </c>
      <c r="L93" s="448">
        <f t="shared" ref="L93:L96" si="72">+O93+R93+U93</f>
        <v>198.5</v>
      </c>
      <c r="M93" s="448">
        <f t="shared" ref="M93:M96" si="73">+P93+S93+V93</f>
        <v>11.5</v>
      </c>
      <c r="N93" s="445">
        <f t="shared" si="70"/>
        <v>0</v>
      </c>
      <c r="O93" s="451"/>
      <c r="P93" s="451"/>
      <c r="Q93" s="493"/>
      <c r="R93" s="494"/>
      <c r="S93" s="494"/>
      <c r="T93" s="451">
        <f>+U93+V93</f>
        <v>210</v>
      </c>
      <c r="U93" s="483">
        <v>198.5</v>
      </c>
      <c r="V93" s="483">
        <v>11.5</v>
      </c>
      <c r="W93" s="451"/>
      <c r="X93" s="483"/>
      <c r="Y93" s="483"/>
      <c r="Z93" s="451"/>
      <c r="AA93" s="451"/>
      <c r="AB93" s="8"/>
    </row>
    <row r="94" spans="1:31" ht="75" hidden="1">
      <c r="A94" s="8">
        <v>10</v>
      </c>
      <c r="B94" s="360" t="s">
        <v>207</v>
      </c>
      <c r="C94" s="8" t="s">
        <v>194</v>
      </c>
      <c r="D94" s="8"/>
      <c r="E94" s="8" t="s">
        <v>208</v>
      </c>
      <c r="F94" s="21" t="s">
        <v>54</v>
      </c>
      <c r="G94" s="445">
        <f t="shared" si="69"/>
        <v>420</v>
      </c>
      <c r="H94" s="445">
        <v>400</v>
      </c>
      <c r="I94" s="445">
        <f>H94*5%</f>
        <v>20</v>
      </c>
      <c r="J94" s="451"/>
      <c r="K94" s="448">
        <f t="shared" si="71"/>
        <v>400</v>
      </c>
      <c r="L94" s="448">
        <f t="shared" si="72"/>
        <v>378</v>
      </c>
      <c r="M94" s="448">
        <f t="shared" si="73"/>
        <v>22</v>
      </c>
      <c r="N94" s="445">
        <f t="shared" si="70"/>
        <v>0</v>
      </c>
      <c r="O94" s="451"/>
      <c r="P94" s="451"/>
      <c r="Q94" s="493"/>
      <c r="R94" s="494"/>
      <c r="S94" s="494"/>
      <c r="T94" s="451">
        <f>+U94+V94</f>
        <v>400</v>
      </c>
      <c r="U94" s="483">
        <v>378</v>
      </c>
      <c r="V94" s="483">
        <v>22</v>
      </c>
      <c r="W94" s="451"/>
      <c r="X94" s="483"/>
      <c r="Y94" s="483"/>
      <c r="Z94" s="451"/>
      <c r="AA94" s="451"/>
      <c r="AB94" s="8"/>
    </row>
    <row r="95" spans="1:31" ht="60" hidden="1">
      <c r="A95" s="8">
        <v>11</v>
      </c>
      <c r="B95" s="328" t="s">
        <v>212</v>
      </c>
      <c r="C95" s="8" t="s">
        <v>213</v>
      </c>
      <c r="D95" s="8"/>
      <c r="E95" s="8" t="s">
        <v>214</v>
      </c>
      <c r="F95" s="21" t="s">
        <v>54</v>
      </c>
      <c r="G95" s="445">
        <f t="shared" si="69"/>
        <v>1260</v>
      </c>
      <c r="H95" s="445">
        <v>1200</v>
      </c>
      <c r="I95" s="445">
        <v>60</v>
      </c>
      <c r="J95" s="451"/>
      <c r="K95" s="448">
        <f t="shared" si="71"/>
        <v>1100</v>
      </c>
      <c r="L95" s="448">
        <f t="shared" si="72"/>
        <v>1039.5</v>
      </c>
      <c r="M95" s="448">
        <f t="shared" si="73"/>
        <v>60.5</v>
      </c>
      <c r="N95" s="445">
        <f t="shared" si="70"/>
        <v>0</v>
      </c>
      <c r="O95" s="451"/>
      <c r="P95" s="451"/>
      <c r="Q95" s="493"/>
      <c r="R95" s="494"/>
      <c r="S95" s="494"/>
      <c r="T95" s="451">
        <f t="shared" ref="T95:T96" si="74">+U95+V95</f>
        <v>1100</v>
      </c>
      <c r="U95" s="483">
        <v>1039.5</v>
      </c>
      <c r="V95" s="483">
        <v>60.5</v>
      </c>
      <c r="W95" s="451"/>
      <c r="X95" s="483"/>
      <c r="Y95" s="483"/>
      <c r="Z95" s="451"/>
      <c r="AA95" s="451"/>
      <c r="AB95" s="8"/>
    </row>
    <row r="96" spans="1:31" ht="45" hidden="1">
      <c r="A96" s="8">
        <v>12</v>
      </c>
      <c r="B96" s="328" t="s">
        <v>215</v>
      </c>
      <c r="C96" s="8" t="s">
        <v>210</v>
      </c>
      <c r="D96" s="8"/>
      <c r="E96" s="8" t="s">
        <v>216</v>
      </c>
      <c r="F96" s="21" t="s">
        <v>54</v>
      </c>
      <c r="G96" s="445">
        <f t="shared" si="69"/>
        <v>315</v>
      </c>
      <c r="H96" s="445">
        <v>300</v>
      </c>
      <c r="I96" s="445">
        <v>15</v>
      </c>
      <c r="J96" s="451"/>
      <c r="K96" s="448">
        <f t="shared" si="71"/>
        <v>313.3</v>
      </c>
      <c r="L96" s="448">
        <f t="shared" si="72"/>
        <v>296.10000000000002</v>
      </c>
      <c r="M96" s="448">
        <f t="shared" si="73"/>
        <v>17.2</v>
      </c>
      <c r="N96" s="445">
        <f t="shared" si="70"/>
        <v>0</v>
      </c>
      <c r="O96" s="451"/>
      <c r="P96" s="451"/>
      <c r="Q96" s="493"/>
      <c r="R96" s="494"/>
      <c r="S96" s="494"/>
      <c r="T96" s="451">
        <f t="shared" si="74"/>
        <v>313.3</v>
      </c>
      <c r="U96" s="483">
        <v>296.10000000000002</v>
      </c>
      <c r="V96" s="483">
        <v>17.2</v>
      </c>
      <c r="W96" s="451"/>
      <c r="X96" s="483"/>
      <c r="Y96" s="483"/>
      <c r="Z96" s="451"/>
      <c r="AA96" s="451"/>
      <c r="AB96" s="8"/>
    </row>
    <row r="97" spans="1:31" ht="45" hidden="1">
      <c r="A97" s="8">
        <v>13</v>
      </c>
      <c r="B97" s="382" t="s">
        <v>217</v>
      </c>
      <c r="C97" s="383" t="s">
        <v>218</v>
      </c>
      <c r="D97" s="383"/>
      <c r="E97" s="22" t="s">
        <v>219</v>
      </c>
      <c r="F97" s="21" t="s">
        <v>55</v>
      </c>
      <c r="G97" s="445">
        <f t="shared" si="69"/>
        <v>630</v>
      </c>
      <c r="H97" s="445">
        <v>600</v>
      </c>
      <c r="I97" s="445">
        <v>30</v>
      </c>
      <c r="J97" s="451"/>
      <c r="K97" s="448">
        <f t="shared" si="65"/>
        <v>0</v>
      </c>
      <c r="L97" s="448">
        <f t="shared" si="66"/>
        <v>0</v>
      </c>
      <c r="M97" s="448">
        <f t="shared" si="67"/>
        <v>0</v>
      </c>
      <c r="N97" s="445">
        <f t="shared" si="70"/>
        <v>0</v>
      </c>
      <c r="O97" s="451"/>
      <c r="P97" s="451"/>
      <c r="Q97" s="451"/>
      <c r="R97" s="483"/>
      <c r="S97" s="483"/>
      <c r="T97" s="451"/>
      <c r="U97" s="483"/>
      <c r="V97" s="483"/>
      <c r="W97" s="445">
        <f t="shared" ref="W97" si="75">X97+Y97</f>
        <v>630</v>
      </c>
      <c r="X97" s="445">
        <v>600</v>
      </c>
      <c r="Y97" s="445">
        <v>30</v>
      </c>
      <c r="Z97" s="451"/>
      <c r="AA97" s="451"/>
      <c r="AB97" s="8"/>
    </row>
    <row r="98" spans="1:31" ht="60" hidden="1">
      <c r="A98" s="8">
        <f>+A97+1</f>
        <v>14</v>
      </c>
      <c r="B98" s="495" t="s">
        <v>1113</v>
      </c>
      <c r="C98" s="496" t="s">
        <v>1114</v>
      </c>
      <c r="D98" s="9" t="s">
        <v>55</v>
      </c>
      <c r="E98" s="22" t="s">
        <v>221</v>
      </c>
      <c r="F98" s="9" t="s">
        <v>55</v>
      </c>
      <c r="G98" s="497">
        <f>+H98+I98</f>
        <v>550</v>
      </c>
      <c r="H98" s="497">
        <v>524.15</v>
      </c>
      <c r="I98" s="497">
        <v>25.85</v>
      </c>
      <c r="J98" s="451"/>
      <c r="K98" s="448">
        <f t="shared" si="65"/>
        <v>0</v>
      </c>
      <c r="L98" s="448">
        <f t="shared" si="66"/>
        <v>0</v>
      </c>
      <c r="M98" s="448">
        <f t="shared" si="67"/>
        <v>0</v>
      </c>
      <c r="N98" s="445">
        <f t="shared" si="70"/>
        <v>0</v>
      </c>
      <c r="O98" s="451"/>
      <c r="P98" s="451"/>
      <c r="Q98" s="451"/>
      <c r="R98" s="483"/>
      <c r="S98" s="483"/>
      <c r="T98" s="451"/>
      <c r="U98" s="483"/>
      <c r="V98" s="483"/>
      <c r="W98" s="497">
        <f>+X98+Y98</f>
        <v>550</v>
      </c>
      <c r="X98" s="497">
        <v>524.15</v>
      </c>
      <c r="Y98" s="497">
        <v>25.85</v>
      </c>
      <c r="Z98" s="451"/>
      <c r="AA98" s="451"/>
      <c r="AB98" s="8"/>
    </row>
    <row r="99" spans="1:31" ht="30" hidden="1">
      <c r="A99" s="8">
        <f t="shared" ref="A99:A104" si="76">+A98+1</f>
        <v>15</v>
      </c>
      <c r="B99" s="495" t="s">
        <v>1115</v>
      </c>
      <c r="C99" s="496" t="s">
        <v>1116</v>
      </c>
      <c r="D99" s="9" t="s">
        <v>55</v>
      </c>
      <c r="E99" s="22"/>
      <c r="F99" s="9" t="s">
        <v>55</v>
      </c>
      <c r="G99" s="497">
        <f t="shared" ref="G99:G102" si="77">+H99+I99</f>
        <v>200</v>
      </c>
      <c r="H99" s="497">
        <v>190.5</v>
      </c>
      <c r="I99" s="497">
        <v>9.5</v>
      </c>
      <c r="J99" s="451"/>
      <c r="K99" s="448"/>
      <c r="L99" s="448"/>
      <c r="M99" s="448"/>
      <c r="N99" s="445"/>
      <c r="O99" s="451"/>
      <c r="P99" s="451"/>
      <c r="Q99" s="451"/>
      <c r="R99" s="483"/>
      <c r="S99" s="483"/>
      <c r="T99" s="451"/>
      <c r="U99" s="483"/>
      <c r="V99" s="483"/>
      <c r="W99" s="497">
        <f t="shared" ref="W99:W102" si="78">+X99+Y99</f>
        <v>200</v>
      </c>
      <c r="X99" s="497">
        <v>190.5</v>
      </c>
      <c r="Y99" s="497">
        <v>9.5</v>
      </c>
      <c r="Z99" s="451"/>
      <c r="AA99" s="451"/>
      <c r="AB99" s="8"/>
    </row>
    <row r="100" spans="1:31" ht="45" hidden="1">
      <c r="A100" s="8">
        <f t="shared" si="76"/>
        <v>16</v>
      </c>
      <c r="B100" s="495" t="s">
        <v>1117</v>
      </c>
      <c r="C100" s="496" t="s">
        <v>1118</v>
      </c>
      <c r="D100" s="9" t="s">
        <v>55</v>
      </c>
      <c r="E100" s="22"/>
      <c r="F100" s="9" t="s">
        <v>55</v>
      </c>
      <c r="G100" s="497">
        <f t="shared" si="77"/>
        <v>200</v>
      </c>
      <c r="H100" s="497">
        <v>190.5</v>
      </c>
      <c r="I100" s="497">
        <v>9.5</v>
      </c>
      <c r="J100" s="451"/>
      <c r="K100" s="448"/>
      <c r="L100" s="448"/>
      <c r="M100" s="448"/>
      <c r="N100" s="445"/>
      <c r="O100" s="451"/>
      <c r="P100" s="451"/>
      <c r="Q100" s="451"/>
      <c r="R100" s="483"/>
      <c r="S100" s="483"/>
      <c r="T100" s="451"/>
      <c r="U100" s="483"/>
      <c r="V100" s="483"/>
      <c r="W100" s="497">
        <f t="shared" si="78"/>
        <v>200</v>
      </c>
      <c r="X100" s="497">
        <v>190.5</v>
      </c>
      <c r="Y100" s="497">
        <v>9.5</v>
      </c>
      <c r="Z100" s="451"/>
      <c r="AA100" s="451"/>
      <c r="AB100" s="8"/>
    </row>
    <row r="101" spans="1:31" ht="45" hidden="1">
      <c r="A101" s="8">
        <f t="shared" si="76"/>
        <v>17</v>
      </c>
      <c r="B101" s="495" t="s">
        <v>1119</v>
      </c>
      <c r="C101" s="496" t="s">
        <v>1026</v>
      </c>
      <c r="D101" s="9" t="s">
        <v>55</v>
      </c>
      <c r="E101" s="22"/>
      <c r="F101" s="9" t="s">
        <v>55</v>
      </c>
      <c r="G101" s="497">
        <f t="shared" si="77"/>
        <v>300</v>
      </c>
      <c r="H101" s="497">
        <v>285.5</v>
      </c>
      <c r="I101" s="497">
        <v>14.5</v>
      </c>
      <c r="J101" s="451"/>
      <c r="K101" s="448"/>
      <c r="L101" s="448"/>
      <c r="M101" s="448"/>
      <c r="N101" s="445"/>
      <c r="O101" s="451"/>
      <c r="P101" s="451"/>
      <c r="Q101" s="451"/>
      <c r="R101" s="483"/>
      <c r="S101" s="483"/>
      <c r="T101" s="451"/>
      <c r="U101" s="483"/>
      <c r="V101" s="483"/>
      <c r="W101" s="497">
        <f t="shared" si="78"/>
        <v>300</v>
      </c>
      <c r="X101" s="497">
        <v>285.5</v>
      </c>
      <c r="Y101" s="497">
        <v>14.5</v>
      </c>
      <c r="Z101" s="451"/>
      <c r="AA101" s="451"/>
      <c r="AB101" s="8"/>
    </row>
    <row r="102" spans="1:31" ht="45" hidden="1">
      <c r="A102" s="8">
        <f t="shared" si="76"/>
        <v>18</v>
      </c>
      <c r="B102" s="495" t="s">
        <v>1120</v>
      </c>
      <c r="C102" s="496" t="s">
        <v>1121</v>
      </c>
      <c r="D102" s="9" t="s">
        <v>55</v>
      </c>
      <c r="E102" s="22"/>
      <c r="F102" s="9" t="s">
        <v>55</v>
      </c>
      <c r="G102" s="497">
        <f t="shared" si="77"/>
        <v>239.6</v>
      </c>
      <c r="H102" s="497">
        <v>228</v>
      </c>
      <c r="I102" s="497">
        <v>11.6</v>
      </c>
      <c r="J102" s="451"/>
      <c r="K102" s="448"/>
      <c r="L102" s="448"/>
      <c r="M102" s="448"/>
      <c r="N102" s="445"/>
      <c r="O102" s="451"/>
      <c r="P102" s="451"/>
      <c r="Q102" s="451"/>
      <c r="R102" s="483"/>
      <c r="S102" s="483"/>
      <c r="T102" s="451"/>
      <c r="U102" s="483"/>
      <c r="V102" s="483"/>
      <c r="W102" s="497">
        <f t="shared" si="78"/>
        <v>239.6</v>
      </c>
      <c r="X102" s="497">
        <v>228</v>
      </c>
      <c r="Y102" s="497">
        <v>11.6</v>
      </c>
      <c r="Z102" s="451"/>
      <c r="AA102" s="451"/>
      <c r="AB102" s="8"/>
    </row>
    <row r="103" spans="1:31" ht="30" hidden="1">
      <c r="A103" s="8">
        <f t="shared" si="76"/>
        <v>19</v>
      </c>
      <c r="B103" s="360" t="s">
        <v>802</v>
      </c>
      <c r="C103" s="8" t="s">
        <v>803</v>
      </c>
      <c r="D103" s="8"/>
      <c r="E103" s="22" t="s">
        <v>804</v>
      </c>
      <c r="F103" s="21" t="s">
        <v>55</v>
      </c>
      <c r="G103" s="445">
        <f t="shared" si="69"/>
        <v>498.75</v>
      </c>
      <c r="H103" s="445">
        <v>475</v>
      </c>
      <c r="I103" s="445">
        <f>H103*5%</f>
        <v>23.75</v>
      </c>
      <c r="J103" s="451"/>
      <c r="K103" s="448">
        <f t="shared" si="65"/>
        <v>0</v>
      </c>
      <c r="L103" s="448">
        <f t="shared" si="66"/>
        <v>0</v>
      </c>
      <c r="M103" s="448">
        <f t="shared" si="67"/>
        <v>0</v>
      </c>
      <c r="N103" s="445">
        <f t="shared" si="70"/>
        <v>0</v>
      </c>
      <c r="O103" s="451"/>
      <c r="P103" s="451"/>
      <c r="Q103" s="451"/>
      <c r="R103" s="483"/>
      <c r="S103" s="483"/>
      <c r="T103" s="451"/>
      <c r="U103" s="483"/>
      <c r="V103" s="483"/>
      <c r="W103" s="445">
        <f t="shared" ref="W103:W104" si="79">X103+Y103</f>
        <v>498.75</v>
      </c>
      <c r="X103" s="445">
        <v>475</v>
      </c>
      <c r="Y103" s="445">
        <f>X103*5%</f>
        <v>23.75</v>
      </c>
      <c r="Z103" s="451"/>
      <c r="AA103" s="451"/>
      <c r="AB103" s="8"/>
    </row>
    <row r="104" spans="1:31" ht="45" hidden="1">
      <c r="A104" s="8">
        <f t="shared" si="76"/>
        <v>20</v>
      </c>
      <c r="B104" s="360" t="s">
        <v>1122</v>
      </c>
      <c r="C104" s="8" t="s">
        <v>1123</v>
      </c>
      <c r="D104" s="8"/>
      <c r="E104" s="22"/>
      <c r="F104" s="21" t="s">
        <v>55</v>
      </c>
      <c r="G104" s="445"/>
      <c r="H104" s="445"/>
      <c r="I104" s="445"/>
      <c r="J104" s="451"/>
      <c r="K104" s="448"/>
      <c r="L104" s="448"/>
      <c r="M104" s="448"/>
      <c r="N104" s="445"/>
      <c r="O104" s="451"/>
      <c r="P104" s="451"/>
      <c r="Q104" s="451"/>
      <c r="R104" s="483"/>
      <c r="S104" s="483"/>
      <c r="T104" s="451"/>
      <c r="U104" s="483"/>
      <c r="V104" s="483"/>
      <c r="W104" s="445">
        <f t="shared" si="79"/>
        <v>730.19999999999993</v>
      </c>
      <c r="X104" s="445">
        <v>722.3</v>
      </c>
      <c r="Y104" s="445">
        <v>7.9</v>
      </c>
      <c r="Z104" s="451"/>
      <c r="AA104" s="451"/>
      <c r="AB104" s="8"/>
    </row>
    <row r="105" spans="1:31" s="14" customFormat="1" ht="23.25" customHeight="1">
      <c r="A105" s="4" t="s">
        <v>993</v>
      </c>
      <c r="B105" s="510" t="s">
        <v>223</v>
      </c>
      <c r="C105" s="418"/>
      <c r="D105" s="418"/>
      <c r="E105" s="417">
        <v>0</v>
      </c>
      <c r="F105" s="417"/>
      <c r="G105" s="446">
        <f>SUM(G106:G117)</f>
        <v>4514.05</v>
      </c>
      <c r="H105" s="446">
        <f t="shared" ref="H105:AA105" si="80">SUM(H106:H117)</f>
        <v>4297.9500000000007</v>
      </c>
      <c r="I105" s="446">
        <f t="shared" si="80"/>
        <v>216.1</v>
      </c>
      <c r="J105" s="446">
        <f t="shared" si="80"/>
        <v>0</v>
      </c>
      <c r="K105" s="446">
        <f t="shared" si="80"/>
        <v>3012.2959000000005</v>
      </c>
      <c r="L105" s="446">
        <f t="shared" si="80"/>
        <v>2857.7400000000002</v>
      </c>
      <c r="M105" s="446">
        <f t="shared" si="80"/>
        <v>154.55590000000001</v>
      </c>
      <c r="N105" s="446">
        <f t="shared" si="80"/>
        <v>1113.0999999999999</v>
      </c>
      <c r="O105" s="446">
        <f t="shared" si="80"/>
        <v>1073.7</v>
      </c>
      <c r="P105" s="446">
        <f t="shared" si="80"/>
        <v>39.4</v>
      </c>
      <c r="Q105" s="446">
        <f t="shared" si="80"/>
        <v>791.29590000000007</v>
      </c>
      <c r="R105" s="446">
        <f t="shared" si="80"/>
        <v>737.04</v>
      </c>
      <c r="S105" s="446">
        <f t="shared" si="80"/>
        <v>54.255899999999997</v>
      </c>
      <c r="T105" s="446">
        <f t="shared" si="80"/>
        <v>1107.9000000000001</v>
      </c>
      <c r="U105" s="446">
        <f t="shared" si="80"/>
        <v>1047</v>
      </c>
      <c r="V105" s="446">
        <f t="shared" si="80"/>
        <v>60.900000000000006</v>
      </c>
      <c r="W105" s="446">
        <f>SUM(W106:W119)</f>
        <v>1500</v>
      </c>
      <c r="X105" s="446">
        <f t="shared" ref="X105:Y105" si="81">SUM(X106:X119)</f>
        <v>1440.21</v>
      </c>
      <c r="Y105" s="446">
        <f t="shared" si="81"/>
        <v>59.79</v>
      </c>
      <c r="Z105" s="446"/>
      <c r="AA105" s="446">
        <f t="shared" si="80"/>
        <v>0</v>
      </c>
      <c r="AB105" s="16"/>
      <c r="AC105" s="368">
        <f>+'NĂM 2022'!K46+'NĂM 2023'!N45+'NĂM 2024'!J48+'NĂM 2025'!J43</f>
        <v>4514.05</v>
      </c>
      <c r="AD105" s="368">
        <f>+'NĂM 2022'!L46+'NĂM 2023'!O45+'NĂM 2024'!K48+'NĂM 2025'!K43</f>
        <v>4297.9500000000007</v>
      </c>
      <c r="AE105" s="368">
        <f>+'NĂM 2022'!M46+'NĂM 2023'!P45+'NĂM 2024'!L48+'NĂM 2025'!L43</f>
        <v>216.1</v>
      </c>
    </row>
    <row r="106" spans="1:31" s="146" customFormat="1" ht="60" hidden="1">
      <c r="A106" s="141">
        <v>1</v>
      </c>
      <c r="B106" s="325" t="s">
        <v>224</v>
      </c>
      <c r="C106" s="141" t="s">
        <v>225</v>
      </c>
      <c r="D106" s="141"/>
      <c r="E106" s="141" t="s">
        <v>226</v>
      </c>
      <c r="F106" s="151" t="s">
        <v>52</v>
      </c>
      <c r="G106" s="447">
        <f t="shared" si="69"/>
        <v>270.85000000000002</v>
      </c>
      <c r="H106" s="447">
        <v>257.85000000000002</v>
      </c>
      <c r="I106" s="447">
        <v>13</v>
      </c>
      <c r="J106" s="448"/>
      <c r="K106" s="448">
        <f>+L106+M106</f>
        <v>270.85000000000002</v>
      </c>
      <c r="L106" s="448">
        <f>+O106+R106+U106</f>
        <v>257.85000000000002</v>
      </c>
      <c r="M106" s="448">
        <f>+P106+S106+V106</f>
        <v>13</v>
      </c>
      <c r="N106" s="445">
        <f t="shared" si="70"/>
        <v>270.85000000000002</v>
      </c>
      <c r="O106" s="447">
        <v>257.85000000000002</v>
      </c>
      <c r="P106" s="447">
        <v>13</v>
      </c>
      <c r="Q106" s="447"/>
      <c r="R106" s="481"/>
      <c r="S106" s="481"/>
      <c r="T106" s="447"/>
      <c r="U106" s="481"/>
      <c r="V106" s="481"/>
      <c r="W106" s="447"/>
      <c r="X106" s="481"/>
      <c r="Y106" s="481"/>
      <c r="Z106" s="447"/>
      <c r="AA106" s="448"/>
      <c r="AB106" s="145"/>
      <c r="AC106" s="465">
        <f>+G105-K105</f>
        <v>1501.7540999999997</v>
      </c>
      <c r="AD106" s="465">
        <f>+H105-L105</f>
        <v>1440.2100000000005</v>
      </c>
      <c r="AE106" s="465">
        <f>+I105-M105</f>
        <v>61.544099999999986</v>
      </c>
    </row>
    <row r="107" spans="1:31" s="146" customFormat="1" ht="60" hidden="1">
      <c r="A107" s="141">
        <v>2</v>
      </c>
      <c r="B107" s="325" t="s">
        <v>227</v>
      </c>
      <c r="C107" s="141" t="s">
        <v>228</v>
      </c>
      <c r="D107" s="141"/>
      <c r="E107" s="141" t="s">
        <v>229</v>
      </c>
      <c r="F107" s="151" t="s">
        <v>52</v>
      </c>
      <c r="G107" s="447">
        <f t="shared" si="69"/>
        <v>629.85</v>
      </c>
      <c r="H107" s="447">
        <v>599.85</v>
      </c>
      <c r="I107" s="447">
        <v>30</v>
      </c>
      <c r="J107" s="448"/>
      <c r="K107" s="448">
        <f t="shared" ref="K107:K117" si="82">+L107+M107</f>
        <v>628.09590000000003</v>
      </c>
      <c r="L107" s="448">
        <f t="shared" ref="L107:L117" si="83">+O107+R107+U107</f>
        <v>599.85</v>
      </c>
      <c r="M107" s="448">
        <f t="shared" ref="M107:M117" si="84">+P107+S107+V107</f>
        <v>28.245899999999999</v>
      </c>
      <c r="N107" s="445">
        <f t="shared" si="70"/>
        <v>572.4</v>
      </c>
      <c r="O107" s="447">
        <v>558</v>
      </c>
      <c r="P107" s="447">
        <v>14.4</v>
      </c>
      <c r="Q107" s="447">
        <f>+R107+S107</f>
        <v>55.695900000000002</v>
      </c>
      <c r="R107" s="481">
        <v>41.85</v>
      </c>
      <c r="S107" s="481">
        <f>15.6-1.7541</f>
        <v>13.8459</v>
      </c>
      <c r="T107" s="447"/>
      <c r="U107" s="481"/>
      <c r="V107" s="481"/>
      <c r="W107" s="447"/>
      <c r="X107" s="481"/>
      <c r="Y107" s="481"/>
      <c r="Z107" s="447"/>
      <c r="AA107" s="448"/>
      <c r="AB107" s="145"/>
      <c r="AC107" s="369">
        <f>+AC106-W105</f>
        <v>1.7540999999996529</v>
      </c>
      <c r="AD107" s="369">
        <f t="shared" ref="AD107:AE107" si="85">+AD106-X105</f>
        <v>0</v>
      </c>
      <c r="AE107" s="369">
        <f t="shared" si="85"/>
        <v>1.7540999999999869</v>
      </c>
    </row>
    <row r="108" spans="1:31" s="146" customFormat="1" ht="75" hidden="1">
      <c r="A108" s="141">
        <v>3</v>
      </c>
      <c r="B108" s="325" t="s">
        <v>230</v>
      </c>
      <c r="C108" s="141" t="s">
        <v>231</v>
      </c>
      <c r="D108" s="141"/>
      <c r="E108" s="141" t="s">
        <v>110</v>
      </c>
      <c r="F108" s="151" t="s">
        <v>52</v>
      </c>
      <c r="G108" s="447">
        <f t="shared" si="69"/>
        <v>269.85000000000002</v>
      </c>
      <c r="H108" s="447">
        <v>257.85000000000002</v>
      </c>
      <c r="I108" s="447">
        <v>12</v>
      </c>
      <c r="J108" s="448"/>
      <c r="K108" s="448">
        <f t="shared" si="82"/>
        <v>269.85000000000002</v>
      </c>
      <c r="L108" s="448">
        <f t="shared" si="83"/>
        <v>257.85000000000002</v>
      </c>
      <c r="M108" s="448">
        <f t="shared" si="84"/>
        <v>12</v>
      </c>
      <c r="N108" s="445">
        <f t="shared" si="70"/>
        <v>269.85000000000002</v>
      </c>
      <c r="O108" s="447">
        <v>257.85000000000002</v>
      </c>
      <c r="P108" s="447">
        <v>12</v>
      </c>
      <c r="Q108" s="447"/>
      <c r="R108" s="481"/>
      <c r="S108" s="481"/>
      <c r="T108" s="447"/>
      <c r="U108" s="481"/>
      <c r="V108" s="481"/>
      <c r="W108" s="447"/>
      <c r="X108" s="481"/>
      <c r="Y108" s="481"/>
      <c r="Z108" s="447"/>
      <c r="AA108" s="448"/>
      <c r="AB108" s="145"/>
      <c r="AC108" s="369"/>
      <c r="AD108" s="369"/>
      <c r="AE108" s="369"/>
    </row>
    <row r="109" spans="1:31" s="146" customFormat="1" ht="60" hidden="1">
      <c r="A109" s="141">
        <v>4</v>
      </c>
      <c r="B109" s="325" t="s">
        <v>232</v>
      </c>
      <c r="C109" s="141" t="s">
        <v>225</v>
      </c>
      <c r="D109" s="141"/>
      <c r="E109" s="141" t="s">
        <v>226</v>
      </c>
      <c r="F109" s="151" t="s">
        <v>53</v>
      </c>
      <c r="G109" s="447">
        <f t="shared" si="69"/>
        <v>357</v>
      </c>
      <c r="H109" s="447">
        <v>342</v>
      </c>
      <c r="I109" s="447">
        <v>15</v>
      </c>
      <c r="J109" s="448"/>
      <c r="K109" s="448">
        <f t="shared" si="82"/>
        <v>371.25</v>
      </c>
      <c r="L109" s="448">
        <f t="shared" si="83"/>
        <v>349.51</v>
      </c>
      <c r="M109" s="448">
        <f t="shared" si="84"/>
        <v>21.74</v>
      </c>
      <c r="N109" s="445">
        <f t="shared" si="70"/>
        <v>0</v>
      </c>
      <c r="O109" s="448"/>
      <c r="P109" s="448"/>
      <c r="Q109" s="448">
        <f>+R109+S109</f>
        <v>371.25</v>
      </c>
      <c r="R109" s="483">
        <v>349.51</v>
      </c>
      <c r="S109" s="483">
        <v>21.74</v>
      </c>
      <c r="T109" s="448"/>
      <c r="U109" s="483"/>
      <c r="V109" s="483"/>
      <c r="W109" s="448"/>
      <c r="X109" s="483"/>
      <c r="Y109" s="483"/>
      <c r="Z109" s="448"/>
      <c r="AA109" s="448"/>
      <c r="AB109" s="145"/>
      <c r="AC109" s="369"/>
      <c r="AD109" s="369"/>
      <c r="AE109" s="369"/>
    </row>
    <row r="110" spans="1:31" s="146" customFormat="1" ht="75" hidden="1">
      <c r="A110" s="141">
        <v>5</v>
      </c>
      <c r="B110" s="325" t="s">
        <v>233</v>
      </c>
      <c r="C110" s="141" t="s">
        <v>231</v>
      </c>
      <c r="D110" s="141"/>
      <c r="E110" s="141" t="s">
        <v>110</v>
      </c>
      <c r="F110" s="151" t="s">
        <v>53</v>
      </c>
      <c r="G110" s="447">
        <f t="shared" si="69"/>
        <v>359.1</v>
      </c>
      <c r="H110" s="447">
        <v>342</v>
      </c>
      <c r="I110" s="447">
        <v>17.100000000000001</v>
      </c>
      <c r="J110" s="448"/>
      <c r="K110" s="448">
        <f t="shared" si="82"/>
        <v>364.35</v>
      </c>
      <c r="L110" s="448">
        <f t="shared" si="83"/>
        <v>345.68</v>
      </c>
      <c r="M110" s="448">
        <f t="shared" si="84"/>
        <v>18.670000000000002</v>
      </c>
      <c r="N110" s="445">
        <f t="shared" si="70"/>
        <v>0</v>
      </c>
      <c r="O110" s="448"/>
      <c r="P110" s="448"/>
      <c r="Q110" s="448">
        <f>+R110+S110</f>
        <v>364.35</v>
      </c>
      <c r="R110" s="483">
        <v>345.68</v>
      </c>
      <c r="S110" s="483">
        <v>18.670000000000002</v>
      </c>
      <c r="T110" s="448"/>
      <c r="U110" s="483"/>
      <c r="V110" s="483"/>
      <c r="W110" s="448"/>
      <c r="X110" s="483"/>
      <c r="Y110" s="483"/>
      <c r="Z110" s="448"/>
      <c r="AA110" s="448"/>
      <c r="AB110" s="145"/>
      <c r="AC110" s="369"/>
      <c r="AD110" s="369"/>
      <c r="AE110" s="369"/>
    </row>
    <row r="111" spans="1:31" s="146" customFormat="1" ht="75" hidden="1">
      <c r="A111" s="141">
        <v>6</v>
      </c>
      <c r="B111" s="325" t="s">
        <v>234</v>
      </c>
      <c r="C111" s="141" t="s">
        <v>231</v>
      </c>
      <c r="D111" s="141"/>
      <c r="E111" s="141" t="s">
        <v>235</v>
      </c>
      <c r="F111" s="151" t="s">
        <v>53</v>
      </c>
      <c r="G111" s="447">
        <f t="shared" si="69"/>
        <v>320</v>
      </c>
      <c r="H111" s="447">
        <v>300</v>
      </c>
      <c r="I111" s="447">
        <v>20</v>
      </c>
      <c r="J111" s="448"/>
      <c r="K111" s="448">
        <f t="shared" si="82"/>
        <v>369.3</v>
      </c>
      <c r="L111" s="448">
        <f t="shared" si="83"/>
        <v>349</v>
      </c>
      <c r="M111" s="448">
        <f t="shared" si="84"/>
        <v>20.3</v>
      </c>
      <c r="N111" s="445">
        <f t="shared" si="70"/>
        <v>0</v>
      </c>
      <c r="O111" s="448"/>
      <c r="P111" s="448"/>
      <c r="Q111" s="448"/>
      <c r="R111" s="483"/>
      <c r="S111" s="483"/>
      <c r="T111" s="448">
        <f>+U111+V111</f>
        <v>369.3</v>
      </c>
      <c r="U111" s="483">
        <v>349</v>
      </c>
      <c r="V111" s="483">
        <v>20.3</v>
      </c>
      <c r="W111" s="448"/>
      <c r="X111" s="483"/>
      <c r="Y111" s="483"/>
      <c r="Z111" s="448"/>
      <c r="AA111" s="448"/>
      <c r="AB111" s="145"/>
      <c r="AC111" s="369"/>
      <c r="AD111" s="369"/>
      <c r="AE111" s="369"/>
    </row>
    <row r="112" spans="1:31" s="146" customFormat="1" ht="45" hidden="1">
      <c r="A112" s="141">
        <v>7</v>
      </c>
      <c r="B112" s="325" t="s">
        <v>236</v>
      </c>
      <c r="C112" s="141" t="s">
        <v>228</v>
      </c>
      <c r="D112" s="141"/>
      <c r="E112" s="141" t="s">
        <v>237</v>
      </c>
      <c r="F112" s="151" t="s">
        <v>53</v>
      </c>
      <c r="G112" s="447">
        <f t="shared" si="69"/>
        <v>630</v>
      </c>
      <c r="H112" s="447">
        <v>600</v>
      </c>
      <c r="I112" s="447">
        <v>30</v>
      </c>
      <c r="J112" s="448"/>
      <c r="K112" s="448">
        <f t="shared" si="82"/>
        <v>369.3</v>
      </c>
      <c r="L112" s="448">
        <f t="shared" si="83"/>
        <v>349</v>
      </c>
      <c r="M112" s="448">
        <f t="shared" si="84"/>
        <v>20.3</v>
      </c>
      <c r="N112" s="445">
        <f t="shared" si="70"/>
        <v>0</v>
      </c>
      <c r="O112" s="448"/>
      <c r="P112" s="448"/>
      <c r="Q112" s="448"/>
      <c r="R112" s="483"/>
      <c r="S112" s="483"/>
      <c r="T112" s="448">
        <f>+U112+V112</f>
        <v>369.3</v>
      </c>
      <c r="U112" s="483">
        <v>349</v>
      </c>
      <c r="V112" s="483">
        <v>20.3</v>
      </c>
      <c r="W112" s="448"/>
      <c r="X112" s="483"/>
      <c r="Y112" s="483"/>
      <c r="Z112" s="448"/>
      <c r="AA112" s="448"/>
      <c r="AB112" s="145"/>
      <c r="AC112" s="369"/>
      <c r="AD112" s="369"/>
      <c r="AE112" s="369"/>
    </row>
    <row r="113" spans="1:31" s="146" customFormat="1" ht="75" hidden="1">
      <c r="A113" s="141">
        <v>8</v>
      </c>
      <c r="B113" s="325" t="s">
        <v>238</v>
      </c>
      <c r="C113" s="141" t="s">
        <v>225</v>
      </c>
      <c r="D113" s="141"/>
      <c r="E113" s="141" t="s">
        <v>239</v>
      </c>
      <c r="F113" s="151" t="s">
        <v>53</v>
      </c>
      <c r="G113" s="447">
        <f t="shared" si="69"/>
        <v>315</v>
      </c>
      <c r="H113" s="447">
        <v>300</v>
      </c>
      <c r="I113" s="447">
        <v>15</v>
      </c>
      <c r="J113" s="448"/>
      <c r="K113" s="448">
        <f t="shared" si="82"/>
        <v>0</v>
      </c>
      <c r="L113" s="448">
        <f t="shared" si="83"/>
        <v>0</v>
      </c>
      <c r="M113" s="448">
        <f t="shared" si="84"/>
        <v>0</v>
      </c>
      <c r="N113" s="445">
        <f t="shared" si="70"/>
        <v>0</v>
      </c>
      <c r="O113" s="448"/>
      <c r="P113" s="448"/>
      <c r="Q113" s="448"/>
      <c r="R113" s="483"/>
      <c r="S113" s="483"/>
      <c r="T113" s="448"/>
      <c r="U113" s="483"/>
      <c r="V113" s="483"/>
      <c r="W113" s="447">
        <f t="shared" ref="W113:W114" si="86">X113+Y113</f>
        <v>315</v>
      </c>
      <c r="X113" s="447">
        <v>300</v>
      </c>
      <c r="Y113" s="447">
        <v>15</v>
      </c>
      <c r="Z113" s="448"/>
      <c r="AA113" s="448"/>
      <c r="AB113" s="145"/>
      <c r="AC113" s="369"/>
      <c r="AD113" s="369"/>
      <c r="AE113" s="369"/>
    </row>
    <row r="114" spans="1:31" s="146" customFormat="1" ht="45" hidden="1">
      <c r="A114" s="141">
        <v>9</v>
      </c>
      <c r="B114" s="325" t="s">
        <v>240</v>
      </c>
      <c r="C114" s="141" t="s">
        <v>231</v>
      </c>
      <c r="D114" s="141"/>
      <c r="E114" s="141" t="s">
        <v>241</v>
      </c>
      <c r="F114" s="141" t="s">
        <v>54</v>
      </c>
      <c r="G114" s="447">
        <f t="shared" si="69"/>
        <v>315</v>
      </c>
      <c r="H114" s="447">
        <v>300</v>
      </c>
      <c r="I114" s="447">
        <v>15</v>
      </c>
      <c r="J114" s="448"/>
      <c r="K114" s="448">
        <f t="shared" si="82"/>
        <v>0</v>
      </c>
      <c r="L114" s="448">
        <f t="shared" si="83"/>
        <v>0</v>
      </c>
      <c r="M114" s="448">
        <f t="shared" si="84"/>
        <v>0</v>
      </c>
      <c r="N114" s="445">
        <f t="shared" si="70"/>
        <v>0</v>
      </c>
      <c r="O114" s="448"/>
      <c r="P114" s="448"/>
      <c r="Q114" s="448"/>
      <c r="R114" s="483"/>
      <c r="S114" s="483"/>
      <c r="T114" s="448"/>
      <c r="U114" s="483"/>
      <c r="V114" s="483"/>
      <c r="W114" s="447">
        <f t="shared" si="86"/>
        <v>251.7</v>
      </c>
      <c r="X114" s="447">
        <v>237.28</v>
      </c>
      <c r="Y114" s="447">
        <v>14.42</v>
      </c>
      <c r="Z114" s="448"/>
      <c r="AA114" s="448"/>
      <c r="AB114" s="145"/>
      <c r="AC114" s="369"/>
      <c r="AD114" s="369"/>
      <c r="AE114" s="369"/>
    </row>
    <row r="115" spans="1:31" s="146" customFormat="1" ht="75" hidden="1">
      <c r="A115" s="141">
        <v>10</v>
      </c>
      <c r="B115" s="325" t="s">
        <v>242</v>
      </c>
      <c r="C115" s="141" t="s">
        <v>225</v>
      </c>
      <c r="D115" s="141"/>
      <c r="E115" s="141" t="s">
        <v>104</v>
      </c>
      <c r="F115" s="141" t="s">
        <v>54</v>
      </c>
      <c r="G115" s="447">
        <f t="shared" si="69"/>
        <v>557.79999999999995</v>
      </c>
      <c r="H115" s="447">
        <v>532.79999999999995</v>
      </c>
      <c r="I115" s="447">
        <v>25</v>
      </c>
      <c r="J115" s="448"/>
      <c r="K115" s="448">
        <f t="shared" si="82"/>
        <v>369.3</v>
      </c>
      <c r="L115" s="448">
        <f t="shared" si="83"/>
        <v>349</v>
      </c>
      <c r="M115" s="448">
        <f t="shared" si="84"/>
        <v>20.3</v>
      </c>
      <c r="N115" s="445">
        <f t="shared" si="70"/>
        <v>0</v>
      </c>
      <c r="O115" s="448"/>
      <c r="P115" s="448"/>
      <c r="Q115" s="448"/>
      <c r="R115" s="483"/>
      <c r="S115" s="483"/>
      <c r="T115" s="448">
        <f>+U115+V115</f>
        <v>369.3</v>
      </c>
      <c r="U115" s="483">
        <v>349</v>
      </c>
      <c r="V115" s="483">
        <v>20.3</v>
      </c>
      <c r="W115" s="448"/>
      <c r="X115" s="483"/>
      <c r="Y115" s="483"/>
      <c r="Z115" s="448"/>
      <c r="AA115" s="448"/>
      <c r="AB115" s="145"/>
      <c r="AC115" s="369"/>
      <c r="AD115" s="369"/>
      <c r="AE115" s="369"/>
    </row>
    <row r="116" spans="1:31" s="146" customFormat="1" ht="75" hidden="1">
      <c r="A116" s="141">
        <v>11</v>
      </c>
      <c r="B116" s="325" t="s">
        <v>243</v>
      </c>
      <c r="C116" s="141" t="s">
        <v>231</v>
      </c>
      <c r="D116" s="141"/>
      <c r="E116" s="141" t="s">
        <v>159</v>
      </c>
      <c r="F116" s="141" t="s">
        <v>55</v>
      </c>
      <c r="G116" s="447">
        <f t="shared" si="69"/>
        <v>244.8</v>
      </c>
      <c r="H116" s="447">
        <v>232.8</v>
      </c>
      <c r="I116" s="447">
        <v>12</v>
      </c>
      <c r="J116" s="448"/>
      <c r="K116" s="448">
        <f t="shared" si="82"/>
        <v>0</v>
      </c>
      <c r="L116" s="448">
        <f t="shared" si="83"/>
        <v>0</v>
      </c>
      <c r="M116" s="448">
        <f t="shared" si="84"/>
        <v>0</v>
      </c>
      <c r="N116" s="445">
        <f t="shared" si="70"/>
        <v>0</v>
      </c>
      <c r="O116" s="448"/>
      <c r="P116" s="448"/>
      <c r="Q116" s="448"/>
      <c r="R116" s="483"/>
      <c r="S116" s="483"/>
      <c r="T116" s="448"/>
      <c r="U116" s="483"/>
      <c r="V116" s="483"/>
      <c r="W116" s="447">
        <f t="shared" ref="W116:W117" si="87">X116+Y116</f>
        <v>244.8</v>
      </c>
      <c r="X116" s="447">
        <v>232.8</v>
      </c>
      <c r="Y116" s="447">
        <v>12</v>
      </c>
      <c r="Z116" s="448"/>
      <c r="AA116" s="448"/>
      <c r="AB116" s="145"/>
      <c r="AC116" s="369"/>
      <c r="AD116" s="369"/>
      <c r="AE116" s="369"/>
    </row>
    <row r="117" spans="1:31" s="146" customFormat="1" ht="75" hidden="1">
      <c r="A117" s="141">
        <v>12</v>
      </c>
      <c r="B117" s="325" t="s">
        <v>244</v>
      </c>
      <c r="C117" s="141" t="s">
        <v>228</v>
      </c>
      <c r="D117" s="141"/>
      <c r="E117" s="141" t="s">
        <v>159</v>
      </c>
      <c r="F117" s="141" t="s">
        <v>55</v>
      </c>
      <c r="G117" s="447">
        <f t="shared" si="69"/>
        <v>244.8</v>
      </c>
      <c r="H117" s="447">
        <v>232.8</v>
      </c>
      <c r="I117" s="447">
        <v>12</v>
      </c>
      <c r="J117" s="448"/>
      <c r="K117" s="448">
        <f t="shared" si="82"/>
        <v>0</v>
      </c>
      <c r="L117" s="448">
        <f t="shared" si="83"/>
        <v>0</v>
      </c>
      <c r="M117" s="448">
        <f t="shared" si="84"/>
        <v>0</v>
      </c>
      <c r="N117" s="445">
        <f t="shared" si="70"/>
        <v>0</v>
      </c>
      <c r="O117" s="448"/>
      <c r="P117" s="448"/>
      <c r="Q117" s="448"/>
      <c r="R117" s="483"/>
      <c r="S117" s="483"/>
      <c r="T117" s="448"/>
      <c r="U117" s="483"/>
      <c r="V117" s="483"/>
      <c r="W117" s="447">
        <f t="shared" si="87"/>
        <v>244.8</v>
      </c>
      <c r="X117" s="447">
        <v>232.8</v>
      </c>
      <c r="Y117" s="447">
        <v>12</v>
      </c>
      <c r="Z117" s="448"/>
      <c r="AA117" s="448"/>
      <c r="AB117" s="145"/>
      <c r="AC117" s="369"/>
      <c r="AD117" s="369"/>
      <c r="AE117" s="369"/>
    </row>
    <row r="118" spans="1:31" s="146" customFormat="1" ht="30" hidden="1">
      <c r="A118" s="141"/>
      <c r="B118" s="325" t="s">
        <v>1144</v>
      </c>
      <c r="C118" s="141" t="s">
        <v>228</v>
      </c>
      <c r="D118" s="141"/>
      <c r="E118" s="141"/>
      <c r="F118" s="141" t="s">
        <v>55</v>
      </c>
      <c r="G118" s="447"/>
      <c r="H118" s="447"/>
      <c r="I118" s="447"/>
      <c r="J118" s="448"/>
      <c r="K118" s="448"/>
      <c r="L118" s="448"/>
      <c r="M118" s="448"/>
      <c r="N118" s="445"/>
      <c r="O118" s="448"/>
      <c r="P118" s="448"/>
      <c r="Q118" s="448"/>
      <c r="R118" s="483"/>
      <c r="S118" s="483"/>
      <c r="T118" s="448"/>
      <c r="U118" s="483"/>
      <c r="V118" s="483"/>
      <c r="W118" s="448">
        <f>+X118+Y118</f>
        <v>256.05</v>
      </c>
      <c r="X118" s="483">
        <v>252.4</v>
      </c>
      <c r="Y118" s="483">
        <v>3.65</v>
      </c>
      <c r="Z118" s="448"/>
      <c r="AA118" s="448"/>
      <c r="AB118" s="145"/>
      <c r="AC118" s="369"/>
      <c r="AD118" s="369"/>
      <c r="AE118" s="369"/>
    </row>
    <row r="119" spans="1:31" s="146" customFormat="1" ht="45" hidden="1">
      <c r="A119" s="141"/>
      <c r="B119" s="325" t="s">
        <v>1145</v>
      </c>
      <c r="C119" s="141" t="s">
        <v>225</v>
      </c>
      <c r="D119" s="141"/>
      <c r="E119" s="141"/>
      <c r="F119" s="141" t="s">
        <v>55</v>
      </c>
      <c r="G119" s="447"/>
      <c r="H119" s="447"/>
      <c r="I119" s="447"/>
      <c r="J119" s="448"/>
      <c r="K119" s="448"/>
      <c r="L119" s="448"/>
      <c r="M119" s="448"/>
      <c r="N119" s="445"/>
      <c r="O119" s="448"/>
      <c r="P119" s="448"/>
      <c r="Q119" s="448"/>
      <c r="R119" s="483"/>
      <c r="S119" s="483"/>
      <c r="T119" s="448"/>
      <c r="U119" s="483"/>
      <c r="V119" s="483"/>
      <c r="W119" s="448">
        <f>+X119+Y119</f>
        <v>187.65</v>
      </c>
      <c r="X119" s="483">
        <v>184.93</v>
      </c>
      <c r="Y119" s="483">
        <v>2.72</v>
      </c>
      <c r="Z119" s="448"/>
      <c r="AA119" s="448"/>
      <c r="AB119" s="145"/>
      <c r="AC119" s="369"/>
      <c r="AD119" s="369"/>
      <c r="AE119" s="369"/>
    </row>
    <row r="120" spans="1:31" s="156" customFormat="1" ht="23.25" customHeight="1">
      <c r="A120" s="419" t="s">
        <v>994</v>
      </c>
      <c r="B120" s="507" t="s">
        <v>246</v>
      </c>
      <c r="C120" s="420"/>
      <c r="D120" s="420"/>
      <c r="E120" s="421">
        <v>0</v>
      </c>
      <c r="F120" s="421"/>
      <c r="G120" s="452">
        <f>SUM(G121:G134)</f>
        <v>10104.370000000001</v>
      </c>
      <c r="H120" s="452">
        <f t="shared" ref="H120:AA120" si="88">SUM(H121:H134)</f>
        <v>9623.2099999999991</v>
      </c>
      <c r="I120" s="452">
        <f t="shared" si="88"/>
        <v>481.15999999999997</v>
      </c>
      <c r="J120" s="452">
        <f t="shared" si="88"/>
        <v>0</v>
      </c>
      <c r="K120" s="452">
        <f t="shared" si="88"/>
        <v>6749.45</v>
      </c>
      <c r="L120" s="452">
        <f t="shared" si="88"/>
        <v>6398.1</v>
      </c>
      <c r="M120" s="452">
        <f t="shared" si="88"/>
        <v>351.34999999999997</v>
      </c>
      <c r="N120" s="446">
        <f t="shared" si="88"/>
        <v>1822.1</v>
      </c>
      <c r="O120" s="452">
        <f>SUM(O121:O134)</f>
        <v>1732.1</v>
      </c>
      <c r="P120" s="452">
        <f t="shared" si="88"/>
        <v>90</v>
      </c>
      <c r="Q120" s="446">
        <f t="shared" si="88"/>
        <v>2447.25</v>
      </c>
      <c r="R120" s="452">
        <f t="shared" si="88"/>
        <v>2321.9</v>
      </c>
      <c r="S120" s="452">
        <f t="shared" si="88"/>
        <v>125.35</v>
      </c>
      <c r="T120" s="446">
        <f t="shared" si="88"/>
        <v>2480.1</v>
      </c>
      <c r="U120" s="452">
        <f t="shared" si="88"/>
        <v>2344.1</v>
      </c>
      <c r="V120" s="452">
        <f t="shared" si="88"/>
        <v>136</v>
      </c>
      <c r="W120" s="452">
        <f>SUM(W121:W136)</f>
        <v>3354.92</v>
      </c>
      <c r="X120" s="452">
        <f>SUM(X121:X136)</f>
        <v>3225.11</v>
      </c>
      <c r="Y120" s="452">
        <f>SUM(Y121:Y136)</f>
        <v>129.81</v>
      </c>
      <c r="Z120" s="452"/>
      <c r="AA120" s="452">
        <f t="shared" si="88"/>
        <v>0</v>
      </c>
      <c r="AB120" s="155"/>
      <c r="AC120" s="372">
        <f>+'NĂM 2022'!K50+'NĂM 2023'!N52+'NĂM 2024'!J51+'NĂM 2025'!J46</f>
        <v>10104.369999999999</v>
      </c>
      <c r="AD120" s="372">
        <f>+'NĂM 2022'!L50+'NĂM 2023'!O52+'NĂM 2024'!K51+'NĂM 2025'!K46</f>
        <v>9623.2099999999991</v>
      </c>
      <c r="AE120" s="372">
        <f>+'NĂM 2022'!M50+'NĂM 2023'!P52+'NĂM 2024'!L51+'NĂM 2025'!L46</f>
        <v>481.15999999999997</v>
      </c>
    </row>
    <row r="121" spans="1:31" s="161" customFormat="1" ht="36" hidden="1" customHeight="1">
      <c r="A121" s="135">
        <v>1</v>
      </c>
      <c r="B121" s="334" t="s">
        <v>813</v>
      </c>
      <c r="C121" s="160" t="s">
        <v>814</v>
      </c>
      <c r="D121" s="160" t="s">
        <v>815</v>
      </c>
      <c r="E121" s="160" t="s">
        <v>909</v>
      </c>
      <c r="F121" s="135" t="s">
        <v>52</v>
      </c>
      <c r="G121" s="449">
        <f>H121+I121</f>
        <v>766.5</v>
      </c>
      <c r="H121" s="449">
        <v>730</v>
      </c>
      <c r="I121" s="449">
        <v>36.5</v>
      </c>
      <c r="J121" s="449"/>
      <c r="K121" s="449">
        <f>+L121+M121</f>
        <v>698.6</v>
      </c>
      <c r="L121" s="449">
        <f t="shared" ref="L121:M123" si="89">+O121+R121+U121</f>
        <v>662.1</v>
      </c>
      <c r="M121" s="449">
        <f t="shared" si="89"/>
        <v>36.5</v>
      </c>
      <c r="N121" s="505">
        <f>O121+P121</f>
        <v>698.6</v>
      </c>
      <c r="O121" s="449">
        <v>662.1</v>
      </c>
      <c r="P121" s="449">
        <v>36.5</v>
      </c>
      <c r="Q121" s="449"/>
      <c r="R121" s="485"/>
      <c r="S121" s="485"/>
      <c r="T121" s="449"/>
      <c r="U121" s="485"/>
      <c r="V121" s="485"/>
      <c r="W121" s="449"/>
      <c r="X121" s="485"/>
      <c r="Y121" s="485"/>
      <c r="Z121" s="449"/>
      <c r="AA121" s="449"/>
      <c r="AB121" s="135"/>
      <c r="AC121" s="517">
        <f>+G120-K120</f>
        <v>3354.920000000001</v>
      </c>
      <c r="AD121" s="517">
        <f>+H120-L120</f>
        <v>3225.1099999999988</v>
      </c>
      <c r="AE121" s="517">
        <f>+I120-M120</f>
        <v>129.81</v>
      </c>
    </row>
    <row r="122" spans="1:31" s="161" customFormat="1" ht="75.75" hidden="1" customHeight="1">
      <c r="A122" s="135">
        <v>3</v>
      </c>
      <c r="B122" s="334" t="s">
        <v>910</v>
      </c>
      <c r="C122" s="160" t="s">
        <v>911</v>
      </c>
      <c r="D122" s="160" t="s">
        <v>816</v>
      </c>
      <c r="E122" s="160" t="s">
        <v>341</v>
      </c>
      <c r="F122" s="135" t="s">
        <v>52</v>
      </c>
      <c r="G122" s="449">
        <f t="shared" ref="G122:G123" si="90">H122+I122</f>
        <v>1123.5</v>
      </c>
      <c r="H122" s="449">
        <v>1070</v>
      </c>
      <c r="I122" s="449">
        <v>53.5</v>
      </c>
      <c r="J122" s="449"/>
      <c r="K122" s="449">
        <f>+L122+M122</f>
        <v>1123.5</v>
      </c>
      <c r="L122" s="449">
        <f t="shared" si="89"/>
        <v>1070</v>
      </c>
      <c r="M122" s="449">
        <f t="shared" si="89"/>
        <v>53.5</v>
      </c>
      <c r="N122" s="505">
        <f>O122+P122</f>
        <v>1123.5</v>
      </c>
      <c r="O122" s="449">
        <v>1070</v>
      </c>
      <c r="P122" s="449">
        <v>53.5</v>
      </c>
      <c r="Q122" s="449"/>
      <c r="R122" s="485"/>
      <c r="S122" s="485"/>
      <c r="T122" s="449"/>
      <c r="U122" s="485"/>
      <c r="V122" s="485"/>
      <c r="W122" s="449"/>
      <c r="X122" s="485"/>
      <c r="Y122" s="485"/>
      <c r="Z122" s="449"/>
      <c r="AA122" s="449"/>
      <c r="AB122" s="135"/>
      <c r="AC122" s="516">
        <f>+AC121-W120</f>
        <v>0</v>
      </c>
      <c r="AD122" s="516">
        <f t="shared" ref="AD122:AE122" si="91">+AD121-X120</f>
        <v>0</v>
      </c>
      <c r="AE122" s="516">
        <f t="shared" si="91"/>
        <v>0</v>
      </c>
    </row>
    <row r="123" spans="1:31" s="146" customFormat="1" ht="75" hidden="1">
      <c r="A123" s="141">
        <v>5</v>
      </c>
      <c r="B123" s="325" t="s">
        <v>247</v>
      </c>
      <c r="C123" s="141" t="s">
        <v>248</v>
      </c>
      <c r="D123" s="141"/>
      <c r="E123" s="141" t="s">
        <v>208</v>
      </c>
      <c r="F123" s="141">
        <v>2023</v>
      </c>
      <c r="G123" s="447">
        <f t="shared" si="90"/>
        <v>315</v>
      </c>
      <c r="H123" s="447">
        <v>300</v>
      </c>
      <c r="I123" s="447">
        <v>15</v>
      </c>
      <c r="J123" s="448"/>
      <c r="K123" s="505">
        <f>+L123+M123</f>
        <v>315</v>
      </c>
      <c r="L123" s="505">
        <f t="shared" si="89"/>
        <v>300</v>
      </c>
      <c r="M123" s="505">
        <f t="shared" si="89"/>
        <v>15</v>
      </c>
      <c r="N123" s="445">
        <f t="shared" ref="N123" si="92">O123+P123</f>
        <v>0</v>
      </c>
      <c r="O123" s="448"/>
      <c r="P123" s="448"/>
      <c r="Q123" s="448">
        <f>+R123+S123</f>
        <v>315</v>
      </c>
      <c r="R123" s="483">
        <v>300</v>
      </c>
      <c r="S123" s="483">
        <v>15</v>
      </c>
      <c r="T123" s="448"/>
      <c r="U123" s="483"/>
      <c r="V123" s="483"/>
      <c r="W123" s="448"/>
      <c r="X123" s="483"/>
      <c r="Y123" s="483"/>
      <c r="Z123" s="448"/>
      <c r="AA123" s="448"/>
      <c r="AB123" s="141"/>
      <c r="AC123" s="369"/>
      <c r="AD123" s="369"/>
      <c r="AE123" s="369"/>
    </row>
    <row r="124" spans="1:31" s="146" customFormat="1" ht="75" hidden="1">
      <c r="A124" s="141">
        <v>6</v>
      </c>
      <c r="B124" s="325" t="s">
        <v>249</v>
      </c>
      <c r="C124" s="141" t="s">
        <v>250</v>
      </c>
      <c r="D124" s="141"/>
      <c r="E124" s="141" t="s">
        <v>251</v>
      </c>
      <c r="F124" s="141" t="s">
        <v>53</v>
      </c>
      <c r="G124" s="447">
        <f t="shared" si="69"/>
        <v>945</v>
      </c>
      <c r="H124" s="447">
        <v>900</v>
      </c>
      <c r="I124" s="447">
        <v>45</v>
      </c>
      <c r="J124" s="448"/>
      <c r="K124" s="505">
        <f t="shared" ref="K124:K134" si="93">+L124+M124</f>
        <v>945</v>
      </c>
      <c r="L124" s="505">
        <f t="shared" ref="L124:L134" si="94">+O124+R124+U124</f>
        <v>900</v>
      </c>
      <c r="M124" s="505">
        <f t="shared" ref="M124:M134" si="95">+P124+S124+V124</f>
        <v>45</v>
      </c>
      <c r="N124" s="445">
        <f t="shared" si="70"/>
        <v>0</v>
      </c>
      <c r="O124" s="448"/>
      <c r="P124" s="448"/>
      <c r="Q124" s="448">
        <f t="shared" ref="Q124:Q126" si="96">+R124+S124</f>
        <v>945</v>
      </c>
      <c r="R124" s="483">
        <v>900</v>
      </c>
      <c r="S124" s="483">
        <v>45</v>
      </c>
      <c r="T124" s="448"/>
      <c r="U124" s="483"/>
      <c r="V124" s="483"/>
      <c r="W124" s="448"/>
      <c r="X124" s="483"/>
      <c r="Y124" s="483"/>
      <c r="Z124" s="448"/>
      <c r="AA124" s="448"/>
      <c r="AB124" s="141"/>
      <c r="AC124" s="369"/>
      <c r="AD124" s="369"/>
      <c r="AE124" s="369"/>
    </row>
    <row r="125" spans="1:31" s="146" customFormat="1" ht="75" hidden="1">
      <c r="A125" s="141">
        <v>7</v>
      </c>
      <c r="B125" s="325" t="s">
        <v>252</v>
      </c>
      <c r="C125" s="141" t="s">
        <v>253</v>
      </c>
      <c r="D125" s="141"/>
      <c r="E125" s="141" t="s">
        <v>159</v>
      </c>
      <c r="F125" s="141" t="s">
        <v>53</v>
      </c>
      <c r="G125" s="447">
        <f t="shared" si="69"/>
        <v>420</v>
      </c>
      <c r="H125" s="447">
        <v>400</v>
      </c>
      <c r="I125" s="447">
        <v>20</v>
      </c>
      <c r="J125" s="448"/>
      <c r="K125" s="505">
        <f t="shared" si="93"/>
        <v>783</v>
      </c>
      <c r="L125" s="505">
        <f t="shared" si="94"/>
        <v>736.9</v>
      </c>
      <c r="M125" s="505">
        <f t="shared" si="95"/>
        <v>46.1</v>
      </c>
      <c r="N125" s="445">
        <f t="shared" si="70"/>
        <v>0</v>
      </c>
      <c r="O125" s="448"/>
      <c r="P125" s="448"/>
      <c r="Q125" s="448">
        <f t="shared" si="96"/>
        <v>783</v>
      </c>
      <c r="R125" s="483">
        <v>736.9</v>
      </c>
      <c r="S125" s="483">
        <v>46.1</v>
      </c>
      <c r="T125" s="448"/>
      <c r="U125" s="483"/>
      <c r="V125" s="483"/>
      <c r="W125" s="448"/>
      <c r="X125" s="483"/>
      <c r="Y125" s="483"/>
      <c r="Z125" s="448"/>
      <c r="AA125" s="448"/>
      <c r="AB125" s="141"/>
      <c r="AC125" s="369"/>
      <c r="AD125" s="369"/>
      <c r="AE125" s="369"/>
    </row>
    <row r="126" spans="1:31" s="146" customFormat="1" ht="75" hidden="1">
      <c r="A126" s="141">
        <v>8</v>
      </c>
      <c r="B126" s="325" t="s">
        <v>254</v>
      </c>
      <c r="C126" s="141" t="s">
        <v>255</v>
      </c>
      <c r="D126" s="141"/>
      <c r="E126" s="141" t="s">
        <v>256</v>
      </c>
      <c r="F126" s="141" t="s">
        <v>53</v>
      </c>
      <c r="G126" s="447">
        <f t="shared" si="69"/>
        <v>404.25</v>
      </c>
      <c r="H126" s="447">
        <v>385</v>
      </c>
      <c r="I126" s="447">
        <v>19.25</v>
      </c>
      <c r="J126" s="448"/>
      <c r="K126" s="505">
        <f t="shared" si="93"/>
        <v>404.25</v>
      </c>
      <c r="L126" s="505">
        <f t="shared" si="94"/>
        <v>385</v>
      </c>
      <c r="M126" s="505">
        <f t="shared" si="95"/>
        <v>19.25</v>
      </c>
      <c r="N126" s="445">
        <f t="shared" si="70"/>
        <v>0</v>
      </c>
      <c r="O126" s="448"/>
      <c r="P126" s="448"/>
      <c r="Q126" s="448">
        <f t="shared" si="96"/>
        <v>404.25</v>
      </c>
      <c r="R126" s="483">
        <v>385</v>
      </c>
      <c r="S126" s="483">
        <v>19.25</v>
      </c>
      <c r="T126" s="448"/>
      <c r="U126" s="483"/>
      <c r="V126" s="483"/>
      <c r="W126" s="448"/>
      <c r="X126" s="483"/>
      <c r="Y126" s="483"/>
      <c r="Z126" s="448"/>
      <c r="AA126" s="448"/>
      <c r="AB126" s="141"/>
      <c r="AC126" s="369"/>
      <c r="AD126" s="369"/>
      <c r="AE126" s="369"/>
    </row>
    <row r="127" spans="1:31" s="146" customFormat="1" ht="45" hidden="1">
      <c r="A127" s="141">
        <v>9</v>
      </c>
      <c r="B127" s="325" t="s">
        <v>257</v>
      </c>
      <c r="C127" s="141" t="s">
        <v>258</v>
      </c>
      <c r="D127" s="141"/>
      <c r="E127" s="150" t="s">
        <v>259</v>
      </c>
      <c r="F127" s="141" t="s">
        <v>53</v>
      </c>
      <c r="G127" s="447">
        <f t="shared" si="69"/>
        <v>840</v>
      </c>
      <c r="H127" s="447">
        <v>800</v>
      </c>
      <c r="I127" s="447">
        <v>40</v>
      </c>
      <c r="J127" s="448"/>
      <c r="K127" s="505">
        <f t="shared" si="93"/>
        <v>0</v>
      </c>
      <c r="L127" s="505">
        <f t="shared" si="94"/>
        <v>0</v>
      </c>
      <c r="M127" s="505">
        <f t="shared" si="95"/>
        <v>0</v>
      </c>
      <c r="N127" s="445">
        <f t="shared" si="70"/>
        <v>0</v>
      </c>
      <c r="O127" s="448"/>
      <c r="P127" s="448"/>
      <c r="Q127" s="448"/>
      <c r="R127" s="483"/>
      <c r="S127" s="483"/>
      <c r="T127" s="448"/>
      <c r="U127" s="483"/>
      <c r="V127" s="483"/>
      <c r="W127" s="447"/>
      <c r="X127" s="447" t="s">
        <v>1161</v>
      </c>
      <c r="Y127" s="447"/>
      <c r="Z127" s="448"/>
      <c r="AA127" s="448"/>
      <c r="AB127" s="141"/>
      <c r="AC127" s="369"/>
      <c r="AD127" s="369"/>
      <c r="AE127" s="369"/>
    </row>
    <row r="128" spans="1:31" s="146" customFormat="1" ht="60" hidden="1">
      <c r="A128" s="141">
        <v>10</v>
      </c>
      <c r="B128" s="325" t="s">
        <v>260</v>
      </c>
      <c r="C128" s="141" t="s">
        <v>255</v>
      </c>
      <c r="D128" s="141"/>
      <c r="E128" s="150" t="s">
        <v>261</v>
      </c>
      <c r="F128" s="141" t="s">
        <v>54</v>
      </c>
      <c r="G128" s="447">
        <f t="shared" si="69"/>
        <v>525</v>
      </c>
      <c r="H128" s="447">
        <v>500</v>
      </c>
      <c r="I128" s="447">
        <v>25</v>
      </c>
      <c r="J128" s="448"/>
      <c r="K128" s="505">
        <f t="shared" si="93"/>
        <v>0</v>
      </c>
      <c r="L128" s="505">
        <f t="shared" si="94"/>
        <v>0</v>
      </c>
      <c r="M128" s="505">
        <f t="shared" si="95"/>
        <v>0</v>
      </c>
      <c r="N128" s="445">
        <f t="shared" si="70"/>
        <v>0</v>
      </c>
      <c r="O128" s="448"/>
      <c r="P128" s="448"/>
      <c r="Q128" s="448"/>
      <c r="R128" s="483"/>
      <c r="S128" s="483"/>
      <c r="T128" s="448"/>
      <c r="U128" s="483"/>
      <c r="V128" s="483"/>
      <c r="W128" s="447">
        <f t="shared" ref="W128:W129" si="97">X128+Y128</f>
        <v>525</v>
      </c>
      <c r="X128" s="447">
        <v>500</v>
      </c>
      <c r="Y128" s="447">
        <v>25</v>
      </c>
      <c r="Z128" s="448"/>
      <c r="AA128" s="448"/>
      <c r="AB128" s="141"/>
      <c r="AC128" s="369"/>
      <c r="AD128" s="369"/>
      <c r="AE128" s="369"/>
    </row>
    <row r="129" spans="1:31" s="146" customFormat="1" ht="60" hidden="1">
      <c r="A129" s="141">
        <v>11</v>
      </c>
      <c r="B129" s="325" t="s">
        <v>262</v>
      </c>
      <c r="C129" s="141" t="s">
        <v>255</v>
      </c>
      <c r="D129" s="141"/>
      <c r="E129" s="150" t="s">
        <v>263</v>
      </c>
      <c r="F129" s="141" t="s">
        <v>54</v>
      </c>
      <c r="G129" s="447">
        <f t="shared" si="69"/>
        <v>630</v>
      </c>
      <c r="H129" s="447">
        <v>600</v>
      </c>
      <c r="I129" s="447">
        <v>30</v>
      </c>
      <c r="J129" s="448"/>
      <c r="K129" s="505">
        <f t="shared" si="93"/>
        <v>0</v>
      </c>
      <c r="L129" s="505">
        <f t="shared" si="94"/>
        <v>0</v>
      </c>
      <c r="M129" s="505">
        <f t="shared" si="95"/>
        <v>0</v>
      </c>
      <c r="N129" s="445">
        <f t="shared" si="70"/>
        <v>0</v>
      </c>
      <c r="O129" s="448"/>
      <c r="P129" s="448"/>
      <c r="Q129" s="448"/>
      <c r="R129" s="483"/>
      <c r="S129" s="483"/>
      <c r="T129" s="448"/>
      <c r="U129" s="483"/>
      <c r="V129" s="483"/>
      <c r="W129" s="447">
        <f t="shared" si="97"/>
        <v>630</v>
      </c>
      <c r="X129" s="447">
        <v>600</v>
      </c>
      <c r="Y129" s="447">
        <v>30</v>
      </c>
      <c r="Z129" s="448"/>
      <c r="AA129" s="448"/>
      <c r="AB129" s="141"/>
      <c r="AC129" s="369"/>
      <c r="AD129" s="369"/>
      <c r="AE129" s="369"/>
    </row>
    <row r="130" spans="1:31" s="146" customFormat="1" ht="30" hidden="1">
      <c r="A130" s="141">
        <v>12</v>
      </c>
      <c r="B130" s="325" t="s">
        <v>264</v>
      </c>
      <c r="C130" s="141" t="s">
        <v>248</v>
      </c>
      <c r="D130" s="141"/>
      <c r="E130" s="141" t="s">
        <v>265</v>
      </c>
      <c r="F130" s="141" t="s">
        <v>54</v>
      </c>
      <c r="G130" s="447">
        <f t="shared" si="69"/>
        <v>945</v>
      </c>
      <c r="H130" s="447">
        <v>900</v>
      </c>
      <c r="I130" s="447">
        <v>45</v>
      </c>
      <c r="J130" s="448"/>
      <c r="K130" s="505">
        <f t="shared" si="93"/>
        <v>846.4</v>
      </c>
      <c r="L130" s="505">
        <f t="shared" si="94"/>
        <v>800</v>
      </c>
      <c r="M130" s="505">
        <f t="shared" si="95"/>
        <v>46.4</v>
      </c>
      <c r="N130" s="445">
        <f t="shared" si="70"/>
        <v>0</v>
      </c>
      <c r="O130" s="448"/>
      <c r="P130" s="448"/>
      <c r="Q130" s="448"/>
      <c r="R130" s="483"/>
      <c r="S130" s="483"/>
      <c r="T130" s="448">
        <f>+U130+V130</f>
        <v>846.4</v>
      </c>
      <c r="U130" s="483">
        <v>800</v>
      </c>
      <c r="V130" s="483">
        <v>46.4</v>
      </c>
      <c r="W130" s="448"/>
      <c r="X130" s="483"/>
      <c r="Y130" s="483"/>
      <c r="Z130" s="448"/>
      <c r="AA130" s="448"/>
      <c r="AB130" s="145"/>
      <c r="AC130" s="369"/>
      <c r="AD130" s="369"/>
      <c r="AE130" s="369"/>
    </row>
    <row r="131" spans="1:31" s="146" customFormat="1" ht="60" hidden="1">
      <c r="A131" s="141">
        <v>13</v>
      </c>
      <c r="B131" s="325" t="s">
        <v>912</v>
      </c>
      <c r="C131" s="141" t="s">
        <v>258</v>
      </c>
      <c r="D131" s="141"/>
      <c r="E131" s="150" t="s">
        <v>266</v>
      </c>
      <c r="F131" s="141" t="s">
        <v>54</v>
      </c>
      <c r="G131" s="447">
        <f t="shared" si="69"/>
        <v>945</v>
      </c>
      <c r="H131" s="447">
        <v>900</v>
      </c>
      <c r="I131" s="447">
        <v>45</v>
      </c>
      <c r="J131" s="448"/>
      <c r="K131" s="505">
        <f t="shared" si="93"/>
        <v>0</v>
      </c>
      <c r="L131" s="505">
        <f t="shared" si="94"/>
        <v>0</v>
      </c>
      <c r="M131" s="505">
        <f t="shared" si="95"/>
        <v>0</v>
      </c>
      <c r="N131" s="445">
        <f t="shared" si="70"/>
        <v>0</v>
      </c>
      <c r="O131" s="448"/>
      <c r="P131" s="448"/>
      <c r="Q131" s="448"/>
      <c r="R131" s="483"/>
      <c r="S131" s="483"/>
      <c r="T131" s="448"/>
      <c r="U131" s="483"/>
      <c r="V131" s="483"/>
      <c r="W131" s="447">
        <f t="shared" ref="W131" si="98">X131+Y131</f>
        <v>945</v>
      </c>
      <c r="X131" s="447">
        <v>900</v>
      </c>
      <c r="Y131" s="447">
        <v>45</v>
      </c>
      <c r="Z131" s="448"/>
      <c r="AA131" s="448"/>
      <c r="AB131" s="141"/>
      <c r="AC131" s="369"/>
      <c r="AD131" s="369"/>
      <c r="AE131" s="369"/>
    </row>
    <row r="132" spans="1:31" s="146" customFormat="1" ht="30" hidden="1">
      <c r="A132" s="141">
        <v>14</v>
      </c>
      <c r="B132" s="325" t="s">
        <v>267</v>
      </c>
      <c r="C132" s="141" t="s">
        <v>268</v>
      </c>
      <c r="D132" s="141"/>
      <c r="E132" s="141" t="s">
        <v>269</v>
      </c>
      <c r="F132" s="141" t="s">
        <v>55</v>
      </c>
      <c r="G132" s="447">
        <f t="shared" si="69"/>
        <v>577.5</v>
      </c>
      <c r="H132" s="447">
        <v>550</v>
      </c>
      <c r="I132" s="447">
        <v>27.5</v>
      </c>
      <c r="J132" s="448"/>
      <c r="K132" s="505">
        <f t="shared" si="93"/>
        <v>481.4</v>
      </c>
      <c r="L132" s="505">
        <f t="shared" si="94"/>
        <v>455</v>
      </c>
      <c r="M132" s="505">
        <f t="shared" si="95"/>
        <v>26.4</v>
      </c>
      <c r="N132" s="445">
        <f t="shared" si="70"/>
        <v>0</v>
      </c>
      <c r="O132" s="448"/>
      <c r="P132" s="448"/>
      <c r="Q132" s="448"/>
      <c r="R132" s="483"/>
      <c r="S132" s="483"/>
      <c r="T132" s="448">
        <f>+U132+V132</f>
        <v>481.4</v>
      </c>
      <c r="U132" s="483">
        <v>455</v>
      </c>
      <c r="V132" s="483">
        <v>26.4</v>
      </c>
      <c r="W132" s="448"/>
      <c r="X132" s="483"/>
      <c r="Y132" s="483"/>
      <c r="Z132" s="448"/>
      <c r="AA132" s="448"/>
      <c r="AB132" s="145"/>
      <c r="AC132" s="369"/>
      <c r="AD132" s="369"/>
      <c r="AE132" s="369"/>
    </row>
    <row r="133" spans="1:31" s="146" customFormat="1" ht="75" hidden="1">
      <c r="A133" s="141">
        <v>15</v>
      </c>
      <c r="B133" s="325" t="s">
        <v>270</v>
      </c>
      <c r="C133" s="141" t="s">
        <v>271</v>
      </c>
      <c r="D133" s="141"/>
      <c r="E133" s="141" t="s">
        <v>110</v>
      </c>
      <c r="F133" s="141" t="s">
        <v>55</v>
      </c>
      <c r="G133" s="447">
        <f t="shared" si="69"/>
        <v>735</v>
      </c>
      <c r="H133" s="447">
        <v>700</v>
      </c>
      <c r="I133" s="447">
        <v>35</v>
      </c>
      <c r="J133" s="448"/>
      <c r="K133" s="505">
        <f t="shared" si="93"/>
        <v>698.3</v>
      </c>
      <c r="L133" s="505">
        <f t="shared" si="94"/>
        <v>660</v>
      </c>
      <c r="M133" s="505">
        <f t="shared" si="95"/>
        <v>38.299999999999997</v>
      </c>
      <c r="N133" s="445">
        <f t="shared" si="70"/>
        <v>0</v>
      </c>
      <c r="O133" s="448"/>
      <c r="P133" s="448"/>
      <c r="Q133" s="448"/>
      <c r="R133" s="483"/>
      <c r="S133" s="483"/>
      <c r="T133" s="448">
        <f t="shared" ref="T133:T134" si="99">+U133+V133</f>
        <v>698.3</v>
      </c>
      <c r="U133" s="483">
        <v>660</v>
      </c>
      <c r="V133" s="483">
        <v>38.299999999999997</v>
      </c>
      <c r="W133" s="448"/>
      <c r="X133" s="483"/>
      <c r="Y133" s="483"/>
      <c r="Z133" s="448"/>
      <c r="AA133" s="448"/>
      <c r="AB133" s="141"/>
      <c r="AC133" s="369"/>
      <c r="AD133" s="369"/>
      <c r="AE133" s="369"/>
    </row>
    <row r="134" spans="1:31" s="146" customFormat="1" ht="75" hidden="1">
      <c r="A134" s="141">
        <v>16</v>
      </c>
      <c r="B134" s="325" t="s">
        <v>272</v>
      </c>
      <c r="C134" s="141" t="s">
        <v>273</v>
      </c>
      <c r="D134" s="141"/>
      <c r="E134" s="141" t="s">
        <v>128</v>
      </c>
      <c r="F134" s="141" t="s">
        <v>55</v>
      </c>
      <c r="G134" s="447">
        <f t="shared" si="69"/>
        <v>932.62</v>
      </c>
      <c r="H134" s="447">
        <v>888.21</v>
      </c>
      <c r="I134" s="447">
        <v>44.41</v>
      </c>
      <c r="J134" s="448"/>
      <c r="K134" s="505">
        <f t="shared" si="93"/>
        <v>454</v>
      </c>
      <c r="L134" s="505">
        <f t="shared" si="94"/>
        <v>429.1</v>
      </c>
      <c r="M134" s="505">
        <f t="shared" si="95"/>
        <v>24.9</v>
      </c>
      <c r="N134" s="445">
        <f t="shared" si="70"/>
        <v>0</v>
      </c>
      <c r="O134" s="448"/>
      <c r="P134" s="448"/>
      <c r="Q134" s="448"/>
      <c r="R134" s="483"/>
      <c r="S134" s="483"/>
      <c r="T134" s="448">
        <f t="shared" si="99"/>
        <v>454</v>
      </c>
      <c r="U134" s="483">
        <v>429.1</v>
      </c>
      <c r="V134" s="483">
        <v>24.9</v>
      </c>
      <c r="W134" s="448"/>
      <c r="X134" s="483"/>
      <c r="Y134" s="483"/>
      <c r="Z134" s="448"/>
      <c r="AA134" s="448"/>
      <c r="AB134" s="141"/>
      <c r="AC134" s="369"/>
      <c r="AD134" s="369"/>
      <c r="AE134" s="369"/>
    </row>
    <row r="135" spans="1:31" s="146" customFormat="1" hidden="1">
      <c r="A135" s="141"/>
      <c r="B135" s="325" t="s">
        <v>1146</v>
      </c>
      <c r="C135" s="141"/>
      <c r="D135" s="141"/>
      <c r="E135" s="141"/>
      <c r="F135" s="141"/>
      <c r="G135" s="447"/>
      <c r="H135" s="447"/>
      <c r="I135" s="447"/>
      <c r="J135" s="448"/>
      <c r="K135" s="505"/>
      <c r="L135" s="505"/>
      <c r="M135" s="505"/>
      <c r="N135" s="445"/>
      <c r="O135" s="448"/>
      <c r="P135" s="448"/>
      <c r="Q135" s="448"/>
      <c r="R135" s="483"/>
      <c r="S135" s="483"/>
      <c r="T135" s="448"/>
      <c r="U135" s="483"/>
      <c r="V135" s="483"/>
      <c r="W135" s="448">
        <f t="shared" ref="W135:W136" si="100">+X135+Y135</f>
        <v>627.45999999999992</v>
      </c>
      <c r="X135" s="483">
        <v>612.54999999999995</v>
      </c>
      <c r="Y135" s="483">
        <f>31.3-16.39</f>
        <v>14.91</v>
      </c>
      <c r="Z135" s="448"/>
      <c r="AA135" s="448"/>
      <c r="AB135" s="141"/>
      <c r="AC135" s="369"/>
      <c r="AD135" s="369"/>
      <c r="AE135" s="369"/>
    </row>
    <row r="136" spans="1:31" s="146" customFormat="1" ht="30" hidden="1">
      <c r="A136" s="141"/>
      <c r="B136" s="325" t="s">
        <v>1147</v>
      </c>
      <c r="C136" s="141"/>
      <c r="D136" s="141"/>
      <c r="E136" s="141"/>
      <c r="F136" s="141"/>
      <c r="G136" s="447"/>
      <c r="H136" s="447"/>
      <c r="I136" s="447"/>
      <c r="J136" s="448"/>
      <c r="K136" s="505"/>
      <c r="L136" s="505"/>
      <c r="M136" s="505"/>
      <c r="N136" s="445"/>
      <c r="O136" s="448"/>
      <c r="P136" s="448"/>
      <c r="Q136" s="448"/>
      <c r="R136" s="483"/>
      <c r="S136" s="483"/>
      <c r="T136" s="448"/>
      <c r="U136" s="483"/>
      <c r="V136" s="483"/>
      <c r="W136" s="448">
        <f t="shared" si="100"/>
        <v>627.45999999999992</v>
      </c>
      <c r="X136" s="483">
        <v>612.55999999999995</v>
      </c>
      <c r="Y136" s="483">
        <v>14.9</v>
      </c>
      <c r="Z136" s="448"/>
      <c r="AA136" s="448"/>
      <c r="AB136" s="141"/>
      <c r="AC136" s="369"/>
      <c r="AD136" s="369"/>
      <c r="AE136" s="369"/>
    </row>
    <row r="137" spans="1:31" s="14" customFormat="1" ht="23.25" customHeight="1">
      <c r="A137" s="422" t="s">
        <v>995</v>
      </c>
      <c r="B137" s="508" t="s">
        <v>275</v>
      </c>
      <c r="C137" s="423"/>
      <c r="D137" s="423"/>
      <c r="E137" s="417">
        <v>0</v>
      </c>
      <c r="F137" s="417"/>
      <c r="G137" s="446">
        <f>SUM(G138:G151)</f>
        <v>10115.23</v>
      </c>
      <c r="H137" s="446">
        <f t="shared" ref="H137:AA137" si="101">SUM(H138:H151)</f>
        <v>9633.23</v>
      </c>
      <c r="I137" s="446">
        <f t="shared" si="101"/>
        <v>482</v>
      </c>
      <c r="J137" s="446">
        <f t="shared" si="101"/>
        <v>0</v>
      </c>
      <c r="K137" s="446">
        <f t="shared" si="101"/>
        <v>6753.7800000000007</v>
      </c>
      <c r="L137" s="446">
        <f t="shared" si="101"/>
        <v>6404.7800000000007</v>
      </c>
      <c r="M137" s="446">
        <f t="shared" si="101"/>
        <v>349</v>
      </c>
      <c r="N137" s="446">
        <f t="shared" si="101"/>
        <v>1820.8</v>
      </c>
      <c r="O137" s="446">
        <f t="shared" si="101"/>
        <v>1733.8</v>
      </c>
      <c r="P137" s="446">
        <f t="shared" si="101"/>
        <v>87</v>
      </c>
      <c r="Q137" s="446">
        <f t="shared" si="101"/>
        <v>2449.88</v>
      </c>
      <c r="R137" s="446">
        <f t="shared" si="101"/>
        <v>2324.38</v>
      </c>
      <c r="S137" s="446">
        <f t="shared" si="101"/>
        <v>125.5</v>
      </c>
      <c r="T137" s="446">
        <f t="shared" si="101"/>
        <v>2483.1</v>
      </c>
      <c r="U137" s="446">
        <f t="shared" si="101"/>
        <v>2346.6</v>
      </c>
      <c r="V137" s="446">
        <f t="shared" si="101"/>
        <v>136.5</v>
      </c>
      <c r="W137" s="446">
        <f>SUM(W138:W152)</f>
        <v>3361.45</v>
      </c>
      <c r="X137" s="446">
        <f t="shared" ref="X137:Y137" si="102">SUM(X138:X152)</f>
        <v>3228.45</v>
      </c>
      <c r="Y137" s="446">
        <f t="shared" si="102"/>
        <v>133</v>
      </c>
      <c r="Z137" s="446"/>
      <c r="AA137" s="446">
        <f t="shared" si="101"/>
        <v>0</v>
      </c>
      <c r="AB137" s="16"/>
      <c r="AC137" s="368">
        <f>+'NĂM 2022'!K53+'NĂM 2023'!N59+'NĂM 2024'!J56+'NĂM 2025'!J50</f>
        <v>10115.23</v>
      </c>
      <c r="AD137" s="368">
        <f>+'NĂM 2022'!L53+'NĂM 2023'!O59+'NĂM 2024'!K56+'NĂM 2025'!K50</f>
        <v>9633.23</v>
      </c>
      <c r="AE137" s="368">
        <f>+'NĂM 2022'!M53+'NĂM 2023'!P59+'NĂM 2024'!L56+'NĂM 2025'!L50</f>
        <v>482</v>
      </c>
    </row>
    <row r="138" spans="1:31" ht="75" hidden="1">
      <c r="A138" s="27">
        <v>1</v>
      </c>
      <c r="B138" s="336" t="s">
        <v>276</v>
      </c>
      <c r="C138" s="27" t="s">
        <v>277</v>
      </c>
      <c r="D138" s="27"/>
      <c r="E138" s="8" t="s">
        <v>278</v>
      </c>
      <c r="F138" s="27" t="s">
        <v>52</v>
      </c>
      <c r="G138" s="445">
        <f t="shared" si="69"/>
        <v>1316.8</v>
      </c>
      <c r="H138" s="445">
        <v>1253.8</v>
      </c>
      <c r="I138" s="445">
        <v>63</v>
      </c>
      <c r="J138" s="451">
        <v>0</v>
      </c>
      <c r="K138" s="451">
        <f>+L138+M138</f>
        <v>1316.8</v>
      </c>
      <c r="L138" s="451">
        <f>+O138+R138+U138</f>
        <v>1253.8</v>
      </c>
      <c r="M138" s="451">
        <f>+P138+S138+V138</f>
        <v>63</v>
      </c>
      <c r="N138" s="445">
        <f t="shared" si="70"/>
        <v>1316.8</v>
      </c>
      <c r="O138" s="445">
        <v>1253.8</v>
      </c>
      <c r="P138" s="445">
        <v>63</v>
      </c>
      <c r="Q138" s="445"/>
      <c r="R138" s="481"/>
      <c r="S138" s="481"/>
      <c r="T138" s="445"/>
      <c r="U138" s="481"/>
      <c r="V138" s="481"/>
      <c r="W138" s="445"/>
      <c r="X138" s="481"/>
      <c r="Y138" s="481"/>
      <c r="Z138" s="445"/>
      <c r="AA138" s="451"/>
      <c r="AB138" s="15"/>
      <c r="AC138" s="506">
        <f>+G137-K137</f>
        <v>3361.4499999999989</v>
      </c>
      <c r="AD138" s="506">
        <f>+H137-L137</f>
        <v>3228.4499999999989</v>
      </c>
      <c r="AE138" s="506">
        <f>+I137-M137</f>
        <v>133</v>
      </c>
    </row>
    <row r="139" spans="1:31" ht="75" hidden="1">
      <c r="A139" s="27">
        <f>+A138+1</f>
        <v>2</v>
      </c>
      <c r="B139" s="336" t="s">
        <v>279</v>
      </c>
      <c r="C139" s="27" t="s">
        <v>280</v>
      </c>
      <c r="D139" s="27"/>
      <c r="E139" s="8" t="s">
        <v>281</v>
      </c>
      <c r="F139" s="27" t="s">
        <v>52</v>
      </c>
      <c r="G139" s="445">
        <f t="shared" si="69"/>
        <v>420</v>
      </c>
      <c r="H139" s="445">
        <v>400</v>
      </c>
      <c r="I139" s="445">
        <v>20</v>
      </c>
      <c r="J139" s="451">
        <v>0</v>
      </c>
      <c r="K139" s="451">
        <f t="shared" ref="K139:K151" si="103">+L139+M139</f>
        <v>420</v>
      </c>
      <c r="L139" s="451">
        <f t="shared" ref="L139:L151" si="104">+O139+R139+U139</f>
        <v>400</v>
      </c>
      <c r="M139" s="451">
        <f t="shared" ref="M139:M151" si="105">+P139+S139+V139</f>
        <v>20</v>
      </c>
      <c r="N139" s="445">
        <f t="shared" si="70"/>
        <v>420</v>
      </c>
      <c r="O139" s="445">
        <v>400</v>
      </c>
      <c r="P139" s="445">
        <v>20</v>
      </c>
      <c r="Q139" s="445"/>
      <c r="R139" s="481"/>
      <c r="S139" s="481"/>
      <c r="T139" s="445"/>
      <c r="U139" s="481"/>
      <c r="V139" s="481"/>
      <c r="W139" s="445"/>
      <c r="X139" s="481"/>
      <c r="Y139" s="481"/>
      <c r="Z139" s="445"/>
      <c r="AA139" s="451"/>
      <c r="AB139" s="15"/>
      <c r="AC139" s="365">
        <f>+AC138-W137</f>
        <v>0</v>
      </c>
      <c r="AD139" s="365">
        <f t="shared" ref="AD139:AE139" si="106">+AD138-X137</f>
        <v>0</v>
      </c>
      <c r="AE139" s="365">
        <f t="shared" si="106"/>
        <v>0</v>
      </c>
    </row>
    <row r="140" spans="1:31" ht="75" hidden="1">
      <c r="A140" s="27">
        <f t="shared" ref="A140:A151" si="107">+A139+1</f>
        <v>3</v>
      </c>
      <c r="B140" s="336" t="s">
        <v>282</v>
      </c>
      <c r="C140" s="27" t="s">
        <v>275</v>
      </c>
      <c r="D140" s="27"/>
      <c r="E140" s="8" t="s">
        <v>283</v>
      </c>
      <c r="F140" s="27" t="s">
        <v>52</v>
      </c>
      <c r="G140" s="445">
        <f t="shared" si="69"/>
        <v>84</v>
      </c>
      <c r="H140" s="445">
        <v>80</v>
      </c>
      <c r="I140" s="445">
        <v>4</v>
      </c>
      <c r="J140" s="451">
        <v>0</v>
      </c>
      <c r="K140" s="451">
        <f t="shared" si="103"/>
        <v>84</v>
      </c>
      <c r="L140" s="451">
        <f t="shared" si="104"/>
        <v>80</v>
      </c>
      <c r="M140" s="451">
        <f t="shared" si="105"/>
        <v>4</v>
      </c>
      <c r="N140" s="445">
        <f t="shared" si="70"/>
        <v>84</v>
      </c>
      <c r="O140" s="445">
        <v>80</v>
      </c>
      <c r="P140" s="445">
        <v>4</v>
      </c>
      <c r="Q140" s="445"/>
      <c r="R140" s="481"/>
      <c r="S140" s="481"/>
      <c r="T140" s="445"/>
      <c r="U140" s="481"/>
      <c r="V140" s="481"/>
      <c r="W140" s="445"/>
      <c r="X140" s="481"/>
      <c r="Y140" s="481"/>
      <c r="Z140" s="445"/>
      <c r="AA140" s="451"/>
      <c r="AB140" s="15"/>
    </row>
    <row r="141" spans="1:31" ht="75" hidden="1">
      <c r="A141" s="27">
        <f t="shared" si="107"/>
        <v>4</v>
      </c>
      <c r="B141" s="336" t="s">
        <v>284</v>
      </c>
      <c r="C141" s="27" t="s">
        <v>285</v>
      </c>
      <c r="D141" s="27"/>
      <c r="E141" s="8" t="s">
        <v>286</v>
      </c>
      <c r="F141" s="27" t="s">
        <v>53</v>
      </c>
      <c r="G141" s="445">
        <f t="shared" si="69"/>
        <v>525</v>
      </c>
      <c r="H141" s="445">
        <v>500</v>
      </c>
      <c r="I141" s="445">
        <v>25</v>
      </c>
      <c r="J141" s="451">
        <v>0</v>
      </c>
      <c r="K141" s="451">
        <f t="shared" si="103"/>
        <v>480</v>
      </c>
      <c r="L141" s="451">
        <f t="shared" si="104"/>
        <v>450</v>
      </c>
      <c r="M141" s="451">
        <f t="shared" si="105"/>
        <v>30</v>
      </c>
      <c r="N141" s="445">
        <f t="shared" si="70"/>
        <v>0</v>
      </c>
      <c r="O141" s="451"/>
      <c r="P141" s="451"/>
      <c r="Q141" s="451">
        <f>+R141+S141</f>
        <v>480</v>
      </c>
      <c r="R141" s="483">
        <v>450</v>
      </c>
      <c r="S141" s="483">
        <v>30</v>
      </c>
      <c r="T141" s="451"/>
      <c r="U141" s="483"/>
      <c r="V141" s="483"/>
      <c r="W141" s="451"/>
      <c r="X141" s="483"/>
      <c r="Y141" s="483"/>
      <c r="Z141" s="451"/>
      <c r="AA141" s="451"/>
      <c r="AB141" s="15"/>
    </row>
    <row r="142" spans="1:31" ht="75" hidden="1">
      <c r="A142" s="27">
        <f t="shared" si="107"/>
        <v>5</v>
      </c>
      <c r="B142" s="336" t="s">
        <v>287</v>
      </c>
      <c r="C142" s="27" t="s">
        <v>288</v>
      </c>
      <c r="D142" s="27"/>
      <c r="E142" s="8" t="s">
        <v>289</v>
      </c>
      <c r="F142" s="27" t="s">
        <v>53</v>
      </c>
      <c r="G142" s="445">
        <f t="shared" si="69"/>
        <v>630</v>
      </c>
      <c r="H142" s="445">
        <v>600</v>
      </c>
      <c r="I142" s="445">
        <v>30</v>
      </c>
      <c r="J142" s="451">
        <v>0</v>
      </c>
      <c r="K142" s="451">
        <f t="shared" si="103"/>
        <v>590</v>
      </c>
      <c r="L142" s="451">
        <f t="shared" si="104"/>
        <v>550</v>
      </c>
      <c r="M142" s="451">
        <f t="shared" si="105"/>
        <v>40</v>
      </c>
      <c r="N142" s="445">
        <f t="shared" si="70"/>
        <v>0</v>
      </c>
      <c r="O142" s="451"/>
      <c r="P142" s="451"/>
      <c r="Q142" s="451">
        <f>+R142+S142</f>
        <v>590</v>
      </c>
      <c r="R142" s="483">
        <v>550</v>
      </c>
      <c r="S142" s="483">
        <v>40</v>
      </c>
      <c r="T142" s="451"/>
      <c r="U142" s="483"/>
      <c r="V142" s="483"/>
      <c r="W142" s="451"/>
      <c r="X142" s="483"/>
      <c r="Y142" s="483"/>
      <c r="Z142" s="451"/>
      <c r="AA142" s="451"/>
      <c r="AB142" s="15"/>
    </row>
    <row r="143" spans="1:31" ht="75" hidden="1">
      <c r="A143" s="27">
        <f t="shared" si="107"/>
        <v>6</v>
      </c>
      <c r="B143" s="336" t="s">
        <v>290</v>
      </c>
      <c r="C143" s="27" t="s">
        <v>291</v>
      </c>
      <c r="D143" s="27"/>
      <c r="E143" s="8" t="s">
        <v>281</v>
      </c>
      <c r="F143" s="27" t="s">
        <v>53</v>
      </c>
      <c r="G143" s="445">
        <f t="shared" si="69"/>
        <v>420</v>
      </c>
      <c r="H143" s="445">
        <v>400</v>
      </c>
      <c r="I143" s="445">
        <v>20</v>
      </c>
      <c r="J143" s="451">
        <v>0</v>
      </c>
      <c r="K143" s="451">
        <f t="shared" si="103"/>
        <v>420</v>
      </c>
      <c r="L143" s="451">
        <f t="shared" si="104"/>
        <v>400</v>
      </c>
      <c r="M143" s="451">
        <f t="shared" si="105"/>
        <v>20</v>
      </c>
      <c r="N143" s="445">
        <f t="shared" si="70"/>
        <v>0</v>
      </c>
      <c r="O143" s="451"/>
      <c r="P143" s="451"/>
      <c r="Q143" s="451"/>
      <c r="R143" s="483"/>
      <c r="S143" s="483"/>
      <c r="T143" s="451">
        <f>+U143+V143</f>
        <v>420</v>
      </c>
      <c r="U143" s="483">
        <v>400</v>
      </c>
      <c r="V143" s="483">
        <v>20</v>
      </c>
      <c r="W143" s="451"/>
      <c r="X143" s="483"/>
      <c r="Y143" s="483"/>
      <c r="Z143" s="451"/>
      <c r="AA143" s="451"/>
      <c r="AB143" s="15"/>
    </row>
    <row r="144" spans="1:31" ht="75" hidden="1">
      <c r="A144" s="27">
        <f t="shared" si="107"/>
        <v>7</v>
      </c>
      <c r="B144" s="336" t="s">
        <v>292</v>
      </c>
      <c r="C144" s="27" t="s">
        <v>275</v>
      </c>
      <c r="D144" s="27"/>
      <c r="E144" s="8" t="s">
        <v>104</v>
      </c>
      <c r="F144" s="27" t="s">
        <v>53</v>
      </c>
      <c r="G144" s="445">
        <f t="shared" si="69"/>
        <v>735</v>
      </c>
      <c r="H144" s="445">
        <v>700</v>
      </c>
      <c r="I144" s="445">
        <v>35</v>
      </c>
      <c r="J144" s="451">
        <v>0</v>
      </c>
      <c r="K144" s="451">
        <f t="shared" si="103"/>
        <v>735</v>
      </c>
      <c r="L144" s="451">
        <f t="shared" si="104"/>
        <v>700</v>
      </c>
      <c r="M144" s="451">
        <f t="shared" si="105"/>
        <v>35</v>
      </c>
      <c r="N144" s="445">
        <f t="shared" si="70"/>
        <v>0</v>
      </c>
      <c r="O144" s="451"/>
      <c r="P144" s="451"/>
      <c r="Q144" s="451">
        <f>+R144+S144</f>
        <v>735</v>
      </c>
      <c r="R144" s="483">
        <v>700</v>
      </c>
      <c r="S144" s="483">
        <v>35</v>
      </c>
      <c r="T144" s="451"/>
      <c r="U144" s="483"/>
      <c r="V144" s="483"/>
      <c r="W144" s="451"/>
      <c r="X144" s="483"/>
      <c r="Y144" s="483"/>
      <c r="Z144" s="451"/>
      <c r="AA144" s="451"/>
      <c r="AB144" s="15"/>
    </row>
    <row r="145" spans="1:31" ht="75" hidden="1">
      <c r="A145" s="27">
        <f t="shared" si="107"/>
        <v>8</v>
      </c>
      <c r="B145" s="336" t="s">
        <v>293</v>
      </c>
      <c r="C145" s="27" t="s">
        <v>288</v>
      </c>
      <c r="D145" s="27"/>
      <c r="E145" s="8" t="s">
        <v>278</v>
      </c>
      <c r="F145" s="27" t="s">
        <v>53</v>
      </c>
      <c r="G145" s="445">
        <f t="shared" si="69"/>
        <v>1260</v>
      </c>
      <c r="H145" s="445">
        <v>1200</v>
      </c>
      <c r="I145" s="445">
        <v>60</v>
      </c>
      <c r="J145" s="451">
        <v>0</v>
      </c>
      <c r="K145" s="451">
        <f t="shared" si="103"/>
        <v>644.88</v>
      </c>
      <c r="L145" s="451">
        <f t="shared" si="104"/>
        <v>624.38</v>
      </c>
      <c r="M145" s="451">
        <f t="shared" si="105"/>
        <v>20.5</v>
      </c>
      <c r="N145" s="445">
        <f t="shared" si="70"/>
        <v>0</v>
      </c>
      <c r="O145" s="451"/>
      <c r="P145" s="451"/>
      <c r="Q145" s="451">
        <f>+R145+S145</f>
        <v>644.88</v>
      </c>
      <c r="R145" s="483">
        <v>624.38</v>
      </c>
      <c r="S145" s="483">
        <v>20.5</v>
      </c>
      <c r="T145" s="451"/>
      <c r="U145" s="483"/>
      <c r="V145" s="483"/>
      <c r="W145" s="451"/>
      <c r="X145" s="483"/>
      <c r="Y145" s="483"/>
      <c r="Z145" s="451"/>
      <c r="AA145" s="451"/>
      <c r="AB145" s="15"/>
    </row>
    <row r="146" spans="1:31" ht="75" hidden="1">
      <c r="A146" s="27">
        <f t="shared" si="107"/>
        <v>9</v>
      </c>
      <c r="B146" s="336" t="s">
        <v>294</v>
      </c>
      <c r="C146" s="27" t="s">
        <v>277</v>
      </c>
      <c r="D146" s="27"/>
      <c r="E146" s="8" t="s">
        <v>281</v>
      </c>
      <c r="F146" s="27" t="s">
        <v>54</v>
      </c>
      <c r="G146" s="445">
        <f t="shared" si="69"/>
        <v>420</v>
      </c>
      <c r="H146" s="445">
        <v>400</v>
      </c>
      <c r="I146" s="445">
        <v>20</v>
      </c>
      <c r="J146" s="451">
        <v>0</v>
      </c>
      <c r="K146" s="451">
        <f t="shared" si="103"/>
        <v>0</v>
      </c>
      <c r="L146" s="451">
        <f t="shared" si="104"/>
        <v>0</v>
      </c>
      <c r="M146" s="451">
        <f t="shared" si="105"/>
        <v>0</v>
      </c>
      <c r="N146" s="445">
        <f t="shared" si="70"/>
        <v>0</v>
      </c>
      <c r="O146" s="451"/>
      <c r="P146" s="451"/>
      <c r="Q146" s="451"/>
      <c r="R146" s="483"/>
      <c r="S146" s="483"/>
      <c r="T146" s="451"/>
      <c r="U146" s="483"/>
      <c r="V146" s="483"/>
      <c r="W146" s="445">
        <f t="shared" ref="W146" si="108">X146+Y146</f>
        <v>420</v>
      </c>
      <c r="X146" s="445">
        <v>400</v>
      </c>
      <c r="Y146" s="445">
        <v>20</v>
      </c>
      <c r="Z146" s="451"/>
      <c r="AA146" s="451"/>
      <c r="AB146" s="15"/>
    </row>
    <row r="147" spans="1:31" ht="75" hidden="1">
      <c r="A147" s="27">
        <f t="shared" si="107"/>
        <v>10</v>
      </c>
      <c r="B147" s="336" t="s">
        <v>295</v>
      </c>
      <c r="C147" s="27" t="s">
        <v>275</v>
      </c>
      <c r="D147" s="27"/>
      <c r="E147" s="8" t="s">
        <v>104</v>
      </c>
      <c r="F147" s="27" t="s">
        <v>54</v>
      </c>
      <c r="G147" s="445">
        <f t="shared" si="69"/>
        <v>735</v>
      </c>
      <c r="H147" s="445">
        <v>700</v>
      </c>
      <c r="I147" s="445">
        <v>35</v>
      </c>
      <c r="J147" s="451">
        <v>0</v>
      </c>
      <c r="K147" s="451">
        <f t="shared" si="103"/>
        <v>961.5</v>
      </c>
      <c r="L147" s="451">
        <f t="shared" si="104"/>
        <v>900</v>
      </c>
      <c r="M147" s="451">
        <f t="shared" si="105"/>
        <v>61.5</v>
      </c>
      <c r="N147" s="445">
        <f t="shared" si="70"/>
        <v>0</v>
      </c>
      <c r="O147" s="451"/>
      <c r="P147" s="451"/>
      <c r="Q147" s="451"/>
      <c r="R147" s="483"/>
      <c r="S147" s="483"/>
      <c r="T147" s="451">
        <f>+U147+V147</f>
        <v>961.5</v>
      </c>
      <c r="U147" s="483">
        <v>900</v>
      </c>
      <c r="V147" s="483">
        <v>61.5</v>
      </c>
      <c r="W147" s="451"/>
      <c r="X147" s="483"/>
      <c r="Y147" s="483"/>
      <c r="Z147" s="451"/>
      <c r="AA147" s="451"/>
      <c r="AB147" s="15"/>
    </row>
    <row r="148" spans="1:31" ht="75" hidden="1">
      <c r="A148" s="27">
        <f t="shared" si="107"/>
        <v>11</v>
      </c>
      <c r="B148" s="336" t="s">
        <v>296</v>
      </c>
      <c r="C148" s="27" t="s">
        <v>288</v>
      </c>
      <c r="D148" s="27"/>
      <c r="E148" s="8" t="s">
        <v>128</v>
      </c>
      <c r="F148" s="27" t="s">
        <v>54</v>
      </c>
      <c r="G148" s="445">
        <f t="shared" si="69"/>
        <v>1050</v>
      </c>
      <c r="H148" s="445">
        <v>1000</v>
      </c>
      <c r="I148" s="445">
        <v>50</v>
      </c>
      <c r="J148" s="451">
        <v>0</v>
      </c>
      <c r="K148" s="451">
        <f t="shared" si="103"/>
        <v>0</v>
      </c>
      <c r="L148" s="451">
        <f t="shared" si="104"/>
        <v>0</v>
      </c>
      <c r="M148" s="451">
        <f t="shared" si="105"/>
        <v>0</v>
      </c>
      <c r="N148" s="445">
        <f t="shared" si="70"/>
        <v>0</v>
      </c>
      <c r="O148" s="451"/>
      <c r="P148" s="451"/>
      <c r="Q148" s="451"/>
      <c r="R148" s="483"/>
      <c r="S148" s="483"/>
      <c r="T148" s="451"/>
      <c r="U148" s="483"/>
      <c r="V148" s="483"/>
      <c r="W148" s="445">
        <f t="shared" ref="W148" si="109">X148+Y148</f>
        <v>1050</v>
      </c>
      <c r="X148" s="445">
        <v>1000</v>
      </c>
      <c r="Y148" s="445">
        <v>50</v>
      </c>
      <c r="Z148" s="451"/>
      <c r="AA148" s="451"/>
      <c r="AB148" s="15"/>
    </row>
    <row r="149" spans="1:31" ht="75" hidden="1">
      <c r="A149" s="27">
        <f t="shared" si="107"/>
        <v>12</v>
      </c>
      <c r="B149" s="336" t="s">
        <v>297</v>
      </c>
      <c r="C149" s="27" t="s">
        <v>298</v>
      </c>
      <c r="D149" s="27"/>
      <c r="E149" s="8" t="s">
        <v>128</v>
      </c>
      <c r="F149" s="27" t="s">
        <v>55</v>
      </c>
      <c r="G149" s="445">
        <f t="shared" si="69"/>
        <v>1050</v>
      </c>
      <c r="H149" s="445">
        <v>1000</v>
      </c>
      <c r="I149" s="445">
        <v>50</v>
      </c>
      <c r="J149" s="451">
        <v>0</v>
      </c>
      <c r="K149" s="451">
        <f t="shared" si="103"/>
        <v>681.6</v>
      </c>
      <c r="L149" s="451">
        <f t="shared" si="104"/>
        <v>646.6</v>
      </c>
      <c r="M149" s="451">
        <f t="shared" si="105"/>
        <v>35</v>
      </c>
      <c r="N149" s="445">
        <f t="shared" si="70"/>
        <v>0</v>
      </c>
      <c r="O149" s="451"/>
      <c r="P149" s="451"/>
      <c r="Q149" s="451"/>
      <c r="R149" s="483"/>
      <c r="S149" s="483"/>
      <c r="T149" s="451">
        <f>+U149+V149</f>
        <v>681.6</v>
      </c>
      <c r="U149" s="483">
        <v>646.6</v>
      </c>
      <c r="V149" s="483">
        <v>35</v>
      </c>
      <c r="W149" s="451"/>
      <c r="X149" s="483"/>
      <c r="Y149" s="483"/>
      <c r="Z149" s="451"/>
      <c r="AA149" s="451"/>
      <c r="AB149" s="15"/>
    </row>
    <row r="150" spans="1:31" ht="75" hidden="1">
      <c r="A150" s="27">
        <f t="shared" si="107"/>
        <v>13</v>
      </c>
      <c r="B150" s="336" t="s">
        <v>299</v>
      </c>
      <c r="C150" s="27" t="s">
        <v>300</v>
      </c>
      <c r="D150" s="27"/>
      <c r="E150" s="8" t="s">
        <v>128</v>
      </c>
      <c r="F150" s="27" t="s">
        <v>55</v>
      </c>
      <c r="G150" s="445">
        <f t="shared" si="69"/>
        <v>1050</v>
      </c>
      <c r="H150" s="445">
        <v>1000</v>
      </c>
      <c r="I150" s="445">
        <v>50</v>
      </c>
      <c r="J150" s="451">
        <v>0</v>
      </c>
      <c r="K150" s="451">
        <f t="shared" si="103"/>
        <v>0</v>
      </c>
      <c r="L150" s="451">
        <f t="shared" si="104"/>
        <v>0</v>
      </c>
      <c r="M150" s="451">
        <f t="shared" si="105"/>
        <v>0</v>
      </c>
      <c r="N150" s="445">
        <f t="shared" si="70"/>
        <v>0</v>
      </c>
      <c r="O150" s="451"/>
      <c r="P150" s="451"/>
      <c r="Q150" s="451"/>
      <c r="R150" s="483"/>
      <c r="S150" s="483"/>
      <c r="T150" s="451"/>
      <c r="U150" s="483"/>
      <c r="V150" s="483"/>
      <c r="W150" s="445">
        <f t="shared" ref="W150" si="110">X150+Y150</f>
        <v>1050</v>
      </c>
      <c r="X150" s="445">
        <v>1000</v>
      </c>
      <c r="Y150" s="445">
        <v>50</v>
      </c>
      <c r="Z150" s="451"/>
      <c r="AA150" s="451"/>
      <c r="AB150" s="15"/>
    </row>
    <row r="151" spans="1:31" ht="75" hidden="1">
      <c r="A151" s="27">
        <f t="shared" si="107"/>
        <v>14</v>
      </c>
      <c r="B151" s="336" t="s">
        <v>301</v>
      </c>
      <c r="C151" s="27" t="s">
        <v>300</v>
      </c>
      <c r="D151" s="27"/>
      <c r="E151" s="8" t="s">
        <v>281</v>
      </c>
      <c r="F151" s="27" t="s">
        <v>55</v>
      </c>
      <c r="G151" s="445">
        <f t="shared" si="69"/>
        <v>419.43</v>
      </c>
      <c r="H151" s="445">
        <v>399.43</v>
      </c>
      <c r="I151" s="445">
        <v>20</v>
      </c>
      <c r="J151" s="451">
        <v>0</v>
      </c>
      <c r="K151" s="451">
        <f t="shared" si="103"/>
        <v>420</v>
      </c>
      <c r="L151" s="451">
        <f t="shared" si="104"/>
        <v>400</v>
      </c>
      <c r="M151" s="451">
        <f t="shared" si="105"/>
        <v>20</v>
      </c>
      <c r="N151" s="445">
        <f t="shared" si="70"/>
        <v>0</v>
      </c>
      <c r="O151" s="451"/>
      <c r="P151" s="451"/>
      <c r="Q151" s="451"/>
      <c r="R151" s="483"/>
      <c r="S151" s="483"/>
      <c r="T151" s="451">
        <f>+U151+V151</f>
        <v>420</v>
      </c>
      <c r="U151" s="483">
        <v>400</v>
      </c>
      <c r="V151" s="483">
        <v>20</v>
      </c>
      <c r="W151" s="451"/>
      <c r="X151" s="483"/>
      <c r="Y151" s="483"/>
      <c r="Z151" s="451"/>
      <c r="AA151" s="451"/>
      <c r="AB151" s="15"/>
    </row>
    <row r="152" spans="1:31" ht="30" hidden="1">
      <c r="A152" s="27"/>
      <c r="B152" s="336" t="s">
        <v>1135</v>
      </c>
      <c r="C152" s="27"/>
      <c r="D152" s="27"/>
      <c r="E152" s="8"/>
      <c r="F152" s="27"/>
      <c r="G152" s="445"/>
      <c r="H152" s="445"/>
      <c r="I152" s="445"/>
      <c r="J152" s="451"/>
      <c r="K152" s="451"/>
      <c r="L152" s="451"/>
      <c r="M152" s="451"/>
      <c r="N152" s="445"/>
      <c r="O152" s="451"/>
      <c r="P152" s="451"/>
      <c r="Q152" s="451"/>
      <c r="R152" s="483"/>
      <c r="S152" s="483"/>
      <c r="T152" s="451"/>
      <c r="U152" s="483"/>
      <c r="V152" s="483"/>
      <c r="W152" s="451">
        <f>+X152+Y152</f>
        <v>841.45</v>
      </c>
      <c r="X152" s="483">
        <v>828.45</v>
      </c>
      <c r="Y152" s="483">
        <v>13</v>
      </c>
      <c r="Z152" s="451"/>
      <c r="AA152" s="451"/>
      <c r="AB152" s="15"/>
    </row>
    <row r="153" spans="1:31" s="14" customFormat="1" ht="51.75" customHeight="1">
      <c r="A153" s="4" t="s">
        <v>996</v>
      </c>
      <c r="B153" s="507" t="s">
        <v>303</v>
      </c>
      <c r="C153" s="418"/>
      <c r="D153" s="418"/>
      <c r="E153" s="417">
        <v>0</v>
      </c>
      <c r="F153" s="417"/>
      <c r="G153" s="446">
        <f>SUM(G154:G162)</f>
        <v>11092.08</v>
      </c>
      <c r="H153" s="446">
        <f t="shared" ref="H153:AA153" si="111">SUM(H154:H162)</f>
        <v>10563.98</v>
      </c>
      <c r="I153" s="446">
        <f t="shared" si="111"/>
        <v>528.1</v>
      </c>
      <c r="J153" s="446">
        <f t="shared" si="111"/>
        <v>0</v>
      </c>
      <c r="K153" s="446">
        <f t="shared" si="111"/>
        <v>7387.6432999999997</v>
      </c>
      <c r="L153" s="446">
        <f t="shared" si="111"/>
        <v>7005.2533000000003</v>
      </c>
      <c r="M153" s="446">
        <f t="shared" si="111"/>
        <v>382.39</v>
      </c>
      <c r="N153" s="446">
        <f t="shared" si="111"/>
        <v>1446.05</v>
      </c>
      <c r="O153" s="446">
        <f t="shared" si="111"/>
        <v>1351</v>
      </c>
      <c r="P153" s="446">
        <f t="shared" si="111"/>
        <v>95.05</v>
      </c>
      <c r="Q153" s="446">
        <f t="shared" si="111"/>
        <v>3218.5933</v>
      </c>
      <c r="R153" s="446">
        <f t="shared" si="111"/>
        <v>3080.9533000000001</v>
      </c>
      <c r="S153" s="446">
        <f t="shared" si="111"/>
        <v>137.63999999999999</v>
      </c>
      <c r="T153" s="446">
        <f t="shared" si="111"/>
        <v>2723</v>
      </c>
      <c r="U153" s="446">
        <f t="shared" si="111"/>
        <v>2573.3000000000002</v>
      </c>
      <c r="V153" s="446">
        <f t="shared" si="111"/>
        <v>149.69999999999999</v>
      </c>
      <c r="W153" s="446">
        <f>SUM(W154:W163)</f>
        <v>3704.4367000000002</v>
      </c>
      <c r="X153" s="446">
        <f t="shared" ref="X153:Y153" si="112">SUM(X154:X163)</f>
        <v>3558.7267000000002</v>
      </c>
      <c r="Y153" s="446">
        <f t="shared" si="112"/>
        <v>145.70999999999998</v>
      </c>
      <c r="Z153" s="446"/>
      <c r="AA153" s="446">
        <f t="shared" si="111"/>
        <v>0</v>
      </c>
      <c r="AB153" s="16"/>
      <c r="AC153" s="368">
        <f>+'NĂM 2022'!K57+'NĂM 2023'!N65+'NĂM 2024'!J60+'NĂM 2025'!J54</f>
        <v>11092.08</v>
      </c>
      <c r="AD153" s="368">
        <f>+'NĂM 2022'!L57+'NĂM 2023'!O65+'NĂM 2024'!K60+'NĂM 2025'!K54</f>
        <v>10563.98</v>
      </c>
      <c r="AE153" s="368">
        <f>+'NĂM 2022'!M57+'NĂM 2023'!P65+'NĂM 2024'!L60+'NĂM 2025'!L54</f>
        <v>528.09999999999991</v>
      </c>
    </row>
    <row r="154" spans="1:31" ht="51.75" hidden="1" customHeight="1">
      <c r="A154" s="8">
        <v>1</v>
      </c>
      <c r="B154" s="328" t="s">
        <v>304</v>
      </c>
      <c r="C154" s="8" t="s">
        <v>303</v>
      </c>
      <c r="D154" s="8"/>
      <c r="E154" s="8" t="s">
        <v>305</v>
      </c>
      <c r="F154" s="27" t="s">
        <v>52</v>
      </c>
      <c r="G154" s="445">
        <f t="shared" si="69"/>
        <v>1996.05</v>
      </c>
      <c r="H154" s="445">
        <v>1901</v>
      </c>
      <c r="I154" s="445">
        <v>95.05</v>
      </c>
      <c r="J154" s="451">
        <v>0</v>
      </c>
      <c r="K154" s="451">
        <f>+L154+M154</f>
        <v>1978.0532999999998</v>
      </c>
      <c r="L154" s="451">
        <f>+O154+R154+U154</f>
        <v>1883.0032999999999</v>
      </c>
      <c r="M154" s="451">
        <f>+P154+S154+V154</f>
        <v>95.05</v>
      </c>
      <c r="N154" s="445">
        <f t="shared" si="70"/>
        <v>1446.05</v>
      </c>
      <c r="O154" s="445">
        <v>1351</v>
      </c>
      <c r="P154" s="445">
        <v>95.05</v>
      </c>
      <c r="Q154" s="445">
        <f>+R154</f>
        <v>532.00329999999997</v>
      </c>
      <c r="R154" s="481">
        <f>550-17.9967</f>
        <v>532.00329999999997</v>
      </c>
      <c r="S154" s="481"/>
      <c r="T154" s="445"/>
      <c r="U154" s="481"/>
      <c r="V154" s="481"/>
      <c r="W154" s="445"/>
      <c r="X154" s="481"/>
      <c r="Y154" s="481"/>
      <c r="Z154" s="445"/>
      <c r="AA154" s="451"/>
      <c r="AB154" s="15"/>
      <c r="AC154" s="506">
        <f>+G153-K153</f>
        <v>3704.4367000000002</v>
      </c>
      <c r="AD154" s="506">
        <f>+H153-L153</f>
        <v>3558.7266999999993</v>
      </c>
      <c r="AE154" s="506">
        <f>+I153-M153</f>
        <v>145.71000000000004</v>
      </c>
    </row>
    <row r="155" spans="1:31" ht="51.75" hidden="1" customHeight="1">
      <c r="A155" s="8">
        <v>2</v>
      </c>
      <c r="B155" s="328" t="s">
        <v>306</v>
      </c>
      <c r="C155" s="8" t="s">
        <v>307</v>
      </c>
      <c r="D155" s="8"/>
      <c r="E155" s="8" t="s">
        <v>308</v>
      </c>
      <c r="F155" s="8" t="s">
        <v>53</v>
      </c>
      <c r="G155" s="445">
        <f t="shared" si="69"/>
        <v>2191.25</v>
      </c>
      <c r="H155" s="445">
        <v>2087</v>
      </c>
      <c r="I155" s="445">
        <v>104.25</v>
      </c>
      <c r="J155" s="451">
        <v>0</v>
      </c>
      <c r="K155" s="451">
        <f t="shared" ref="K155:K162" si="113">+L155+M155</f>
        <v>1886.5900000000001</v>
      </c>
      <c r="L155" s="451">
        <f t="shared" ref="L155:L162" si="114">+O155+R155+U155</f>
        <v>1788.95</v>
      </c>
      <c r="M155" s="451">
        <f t="shared" ref="M155:M162" si="115">+P155+S155+V155</f>
        <v>97.64</v>
      </c>
      <c r="N155" s="445">
        <f t="shared" si="70"/>
        <v>0</v>
      </c>
      <c r="O155" s="451"/>
      <c r="P155" s="451"/>
      <c r="Q155" s="451">
        <f>+R155+S155</f>
        <v>1886.5900000000001</v>
      </c>
      <c r="R155" s="483">
        <v>1788.95</v>
      </c>
      <c r="S155" s="483">
        <v>97.64</v>
      </c>
      <c r="T155" s="451"/>
      <c r="U155" s="483"/>
      <c r="V155" s="483"/>
      <c r="W155" s="451"/>
      <c r="X155" s="483"/>
      <c r="Y155" s="483"/>
      <c r="Z155" s="451"/>
      <c r="AA155" s="451"/>
      <c r="AB155" s="15"/>
      <c r="AC155" s="513">
        <f>+AC154-W153</f>
        <v>0</v>
      </c>
      <c r="AD155" s="513">
        <f t="shared" ref="AD155:AE155" si="116">+AD154-X153</f>
        <v>0</v>
      </c>
      <c r="AE155" s="513">
        <f t="shared" si="116"/>
        <v>0</v>
      </c>
    </row>
    <row r="156" spans="1:31" ht="51.75" hidden="1" customHeight="1">
      <c r="A156" s="8">
        <v>3</v>
      </c>
      <c r="B156" s="328" t="s">
        <v>309</v>
      </c>
      <c r="C156" s="8" t="s">
        <v>310</v>
      </c>
      <c r="D156" s="8"/>
      <c r="E156" s="8" t="s">
        <v>311</v>
      </c>
      <c r="F156" s="8" t="s">
        <v>53</v>
      </c>
      <c r="G156" s="445">
        <f t="shared" si="69"/>
        <v>420</v>
      </c>
      <c r="H156" s="445">
        <v>400</v>
      </c>
      <c r="I156" s="445">
        <v>20</v>
      </c>
      <c r="J156" s="451">
        <v>0</v>
      </c>
      <c r="K156" s="451">
        <f t="shared" si="113"/>
        <v>400</v>
      </c>
      <c r="L156" s="451">
        <f t="shared" si="114"/>
        <v>380</v>
      </c>
      <c r="M156" s="451">
        <f t="shared" si="115"/>
        <v>20</v>
      </c>
      <c r="N156" s="445">
        <f t="shared" si="70"/>
        <v>0</v>
      </c>
      <c r="O156" s="451"/>
      <c r="P156" s="451"/>
      <c r="Q156" s="451">
        <f t="shared" ref="Q156:Q157" si="117">+R156+S156</f>
        <v>400</v>
      </c>
      <c r="R156" s="483">
        <v>380</v>
      </c>
      <c r="S156" s="483">
        <v>20</v>
      </c>
      <c r="T156" s="451"/>
      <c r="U156" s="483"/>
      <c r="V156" s="483"/>
      <c r="W156" s="451"/>
      <c r="X156" s="483"/>
      <c r="Y156" s="483"/>
      <c r="Z156" s="451"/>
      <c r="AA156" s="451"/>
      <c r="AB156" s="15"/>
    </row>
    <row r="157" spans="1:31" ht="51.75" hidden="1" customHeight="1">
      <c r="A157" s="8">
        <v>4</v>
      </c>
      <c r="B157" s="328" t="s">
        <v>312</v>
      </c>
      <c r="C157" s="8" t="s">
        <v>313</v>
      </c>
      <c r="D157" s="8"/>
      <c r="E157" s="8" t="s">
        <v>94</v>
      </c>
      <c r="F157" s="8" t="s">
        <v>53</v>
      </c>
      <c r="G157" s="445">
        <f t="shared" si="69"/>
        <v>420</v>
      </c>
      <c r="H157" s="445">
        <v>400</v>
      </c>
      <c r="I157" s="445">
        <v>20</v>
      </c>
      <c r="J157" s="451">
        <v>0</v>
      </c>
      <c r="K157" s="451">
        <f t="shared" si="113"/>
        <v>400</v>
      </c>
      <c r="L157" s="451">
        <f t="shared" si="114"/>
        <v>380</v>
      </c>
      <c r="M157" s="451">
        <f t="shared" si="115"/>
        <v>20</v>
      </c>
      <c r="N157" s="445">
        <f t="shared" si="70"/>
        <v>0</v>
      </c>
      <c r="O157" s="451"/>
      <c r="P157" s="451"/>
      <c r="Q157" s="451">
        <f t="shared" si="117"/>
        <v>400</v>
      </c>
      <c r="R157" s="483">
        <v>380</v>
      </c>
      <c r="S157" s="483">
        <v>20</v>
      </c>
      <c r="T157" s="451"/>
      <c r="U157" s="483"/>
      <c r="V157" s="483"/>
      <c r="W157" s="451"/>
      <c r="X157" s="483"/>
      <c r="Y157" s="483"/>
      <c r="Z157" s="451"/>
      <c r="AA157" s="451"/>
      <c r="AB157" s="15"/>
    </row>
    <row r="158" spans="1:31" ht="51.75" hidden="1" customHeight="1">
      <c r="A158" s="8">
        <v>5</v>
      </c>
      <c r="B158" s="328" t="s">
        <v>1130</v>
      </c>
      <c r="C158" s="8" t="s">
        <v>1131</v>
      </c>
      <c r="D158" s="8"/>
      <c r="E158" s="8" t="s">
        <v>315</v>
      </c>
      <c r="F158" s="27" t="s">
        <v>54</v>
      </c>
      <c r="G158" s="445">
        <f t="shared" si="69"/>
        <v>2191.35</v>
      </c>
      <c r="H158" s="445">
        <v>2087</v>
      </c>
      <c r="I158" s="445">
        <v>104.35</v>
      </c>
      <c r="J158" s="451"/>
      <c r="K158" s="451">
        <f t="shared" si="113"/>
        <v>2123</v>
      </c>
      <c r="L158" s="451">
        <f t="shared" si="114"/>
        <v>2006.3</v>
      </c>
      <c r="M158" s="451">
        <f t="shared" si="115"/>
        <v>116.7</v>
      </c>
      <c r="N158" s="445">
        <f t="shared" si="70"/>
        <v>0</v>
      </c>
      <c r="O158" s="451"/>
      <c r="P158" s="451"/>
      <c r="Q158" s="451"/>
      <c r="R158" s="483"/>
      <c r="S158" s="483"/>
      <c r="T158" s="451">
        <f>+U158+V158</f>
        <v>2123</v>
      </c>
      <c r="U158" s="483">
        <v>2006.3</v>
      </c>
      <c r="V158" s="483">
        <v>116.7</v>
      </c>
      <c r="W158" s="451"/>
      <c r="X158" s="483"/>
      <c r="Y158" s="483"/>
      <c r="Z158" s="451"/>
      <c r="AA158" s="451"/>
      <c r="AB158" s="15"/>
    </row>
    <row r="159" spans="1:31" ht="51.75" hidden="1" customHeight="1">
      <c r="A159" s="8">
        <v>6</v>
      </c>
      <c r="B159" s="328" t="s">
        <v>316</v>
      </c>
      <c r="C159" s="8" t="s">
        <v>317</v>
      </c>
      <c r="D159" s="8"/>
      <c r="E159" s="8" t="s">
        <v>318</v>
      </c>
      <c r="F159" s="27" t="s">
        <v>54</v>
      </c>
      <c r="G159" s="445">
        <f t="shared" si="69"/>
        <v>420</v>
      </c>
      <c r="H159" s="445">
        <v>400</v>
      </c>
      <c r="I159" s="445">
        <v>20</v>
      </c>
      <c r="J159" s="451">
        <v>0</v>
      </c>
      <c r="K159" s="451">
        <f t="shared" si="113"/>
        <v>300</v>
      </c>
      <c r="L159" s="451">
        <f t="shared" si="114"/>
        <v>283.5</v>
      </c>
      <c r="M159" s="451">
        <f t="shared" si="115"/>
        <v>16.5</v>
      </c>
      <c r="N159" s="445">
        <f t="shared" si="70"/>
        <v>0</v>
      </c>
      <c r="O159" s="451"/>
      <c r="P159" s="451"/>
      <c r="Q159" s="451"/>
      <c r="R159" s="483"/>
      <c r="S159" s="483"/>
      <c r="T159" s="451">
        <f t="shared" ref="T159:T160" si="118">+U159+V159</f>
        <v>300</v>
      </c>
      <c r="U159" s="483">
        <v>283.5</v>
      </c>
      <c r="V159" s="483">
        <v>16.5</v>
      </c>
      <c r="W159" s="451"/>
      <c r="X159" s="483"/>
      <c r="Y159" s="483"/>
      <c r="Z159" s="451"/>
      <c r="AA159" s="451"/>
      <c r="AB159" s="15"/>
    </row>
    <row r="160" spans="1:31" ht="51.75" hidden="1" customHeight="1">
      <c r="A160" s="8">
        <v>7</v>
      </c>
      <c r="B160" s="328" t="s">
        <v>319</v>
      </c>
      <c r="C160" s="8" t="s">
        <v>320</v>
      </c>
      <c r="D160" s="8"/>
      <c r="E160" s="8" t="s">
        <v>321</v>
      </c>
      <c r="F160" s="27" t="s">
        <v>54</v>
      </c>
      <c r="G160" s="445">
        <f t="shared" si="69"/>
        <v>420</v>
      </c>
      <c r="H160" s="445">
        <v>400</v>
      </c>
      <c r="I160" s="445">
        <v>20</v>
      </c>
      <c r="J160" s="451">
        <v>0</v>
      </c>
      <c r="K160" s="451">
        <f t="shared" si="113"/>
        <v>300</v>
      </c>
      <c r="L160" s="451">
        <f t="shared" si="114"/>
        <v>283.5</v>
      </c>
      <c r="M160" s="451">
        <f t="shared" si="115"/>
        <v>16.5</v>
      </c>
      <c r="N160" s="445">
        <f t="shared" si="70"/>
        <v>0</v>
      </c>
      <c r="O160" s="451"/>
      <c r="P160" s="451"/>
      <c r="Q160" s="451"/>
      <c r="R160" s="483"/>
      <c r="S160" s="483"/>
      <c r="T160" s="451">
        <f t="shared" si="118"/>
        <v>300</v>
      </c>
      <c r="U160" s="483">
        <v>283.5</v>
      </c>
      <c r="V160" s="483">
        <v>16.5</v>
      </c>
      <c r="W160" s="451"/>
      <c r="X160" s="483"/>
      <c r="Y160" s="483"/>
      <c r="Z160" s="451"/>
      <c r="AA160" s="451"/>
      <c r="AB160" s="15"/>
    </row>
    <row r="161" spans="1:31" ht="51.75" hidden="1" customHeight="1">
      <c r="A161" s="8">
        <v>8</v>
      </c>
      <c r="B161" s="328" t="s">
        <v>322</v>
      </c>
      <c r="C161" s="8" t="s">
        <v>57</v>
      </c>
      <c r="D161" s="8"/>
      <c r="E161" s="8" t="s">
        <v>323</v>
      </c>
      <c r="F161" s="8" t="s">
        <v>55</v>
      </c>
      <c r="G161" s="445">
        <f t="shared" si="69"/>
        <v>1575</v>
      </c>
      <c r="H161" s="445">
        <v>1500</v>
      </c>
      <c r="I161" s="445">
        <v>75</v>
      </c>
      <c r="J161" s="451">
        <v>0</v>
      </c>
      <c r="K161" s="451">
        <f t="shared" si="113"/>
        <v>0</v>
      </c>
      <c r="L161" s="451">
        <f t="shared" si="114"/>
        <v>0</v>
      </c>
      <c r="M161" s="451">
        <f t="shared" si="115"/>
        <v>0</v>
      </c>
      <c r="N161" s="445">
        <f t="shared" si="70"/>
        <v>0</v>
      </c>
      <c r="O161" s="451"/>
      <c r="P161" s="451"/>
      <c r="Q161" s="451"/>
      <c r="R161" s="483"/>
      <c r="S161" s="483"/>
      <c r="T161" s="451"/>
      <c r="U161" s="483"/>
      <c r="V161" s="483"/>
      <c r="W161" s="445">
        <f t="shared" ref="W161:W162" si="119">X161+Y161</f>
        <v>1575</v>
      </c>
      <c r="X161" s="445">
        <v>1500</v>
      </c>
      <c r="Y161" s="445">
        <v>75</v>
      </c>
      <c r="Z161" s="451"/>
      <c r="AA161" s="451"/>
      <c r="AB161" s="15"/>
    </row>
    <row r="162" spans="1:31" ht="51.75" hidden="1" customHeight="1">
      <c r="A162" s="8">
        <v>9</v>
      </c>
      <c r="B162" s="328" t="s">
        <v>324</v>
      </c>
      <c r="C162" s="8" t="s">
        <v>325</v>
      </c>
      <c r="D162" s="8"/>
      <c r="E162" s="8" t="s">
        <v>326</v>
      </c>
      <c r="F162" s="8" t="s">
        <v>55</v>
      </c>
      <c r="G162" s="445">
        <f t="shared" si="69"/>
        <v>1458.43</v>
      </c>
      <c r="H162" s="445">
        <v>1388.98</v>
      </c>
      <c r="I162" s="445">
        <v>69.45</v>
      </c>
      <c r="J162" s="451">
        <v>0</v>
      </c>
      <c r="K162" s="451">
        <f t="shared" si="113"/>
        <v>0</v>
      </c>
      <c r="L162" s="451">
        <f t="shared" si="114"/>
        <v>0</v>
      </c>
      <c r="M162" s="451">
        <f t="shared" si="115"/>
        <v>0</v>
      </c>
      <c r="N162" s="445">
        <f t="shared" si="70"/>
        <v>0</v>
      </c>
      <c r="O162" s="451"/>
      <c r="P162" s="451"/>
      <c r="Q162" s="451"/>
      <c r="R162" s="483"/>
      <c r="S162" s="483"/>
      <c r="T162" s="451"/>
      <c r="U162" s="483"/>
      <c r="V162" s="483"/>
      <c r="W162" s="445">
        <f t="shared" si="119"/>
        <v>1458.43</v>
      </c>
      <c r="X162" s="445">
        <v>1388.98</v>
      </c>
      <c r="Y162" s="445">
        <v>69.45</v>
      </c>
      <c r="Z162" s="451"/>
      <c r="AA162" s="451"/>
      <c r="AB162" s="15"/>
    </row>
    <row r="163" spans="1:31" ht="51.75" hidden="1" customHeight="1">
      <c r="A163" s="8"/>
      <c r="B163" s="328" t="s">
        <v>1148</v>
      </c>
      <c r="C163" s="8"/>
      <c r="D163" s="8"/>
      <c r="E163" s="8"/>
      <c r="F163" s="8" t="s">
        <v>55</v>
      </c>
      <c r="G163" s="445"/>
      <c r="H163" s="445"/>
      <c r="I163" s="445"/>
      <c r="J163" s="451"/>
      <c r="K163" s="451"/>
      <c r="L163" s="451"/>
      <c r="M163" s="451"/>
      <c r="N163" s="445"/>
      <c r="O163" s="451"/>
      <c r="P163" s="451"/>
      <c r="Q163" s="451"/>
      <c r="R163" s="483"/>
      <c r="S163" s="483"/>
      <c r="T163" s="451"/>
      <c r="U163" s="483"/>
      <c r="V163" s="483"/>
      <c r="W163" s="451">
        <f>+X163+Y163</f>
        <v>671.00670000000002</v>
      </c>
      <c r="X163" s="483">
        <f>620.35+49.3967</f>
        <v>669.74670000000003</v>
      </c>
      <c r="Y163" s="514">
        <f>32.66-31.4</f>
        <v>1.259999999999998</v>
      </c>
      <c r="Z163" s="451"/>
      <c r="AA163" s="451"/>
      <c r="AB163" s="15"/>
    </row>
    <row r="164" spans="1:31" s="14" customFormat="1" ht="51.75" customHeight="1">
      <c r="A164" s="4" t="s">
        <v>997</v>
      </c>
      <c r="B164" s="507" t="s">
        <v>328</v>
      </c>
      <c r="C164" s="418"/>
      <c r="D164" s="418"/>
      <c r="E164" s="417">
        <v>0</v>
      </c>
      <c r="F164" s="417"/>
      <c r="G164" s="446">
        <f>SUM(G165:G179)</f>
        <v>10137.530000000001</v>
      </c>
      <c r="H164" s="446">
        <f>SUM(H165:H179)</f>
        <v>9654.67</v>
      </c>
      <c r="I164" s="446">
        <f t="shared" ref="I164:AA164" si="120">SUM(I165:I179)</f>
        <v>482.85999999999996</v>
      </c>
      <c r="J164" s="446">
        <f t="shared" si="120"/>
        <v>0</v>
      </c>
      <c r="K164" s="446">
        <f t="shared" si="120"/>
        <v>6768.62</v>
      </c>
      <c r="L164" s="446">
        <f t="shared" si="120"/>
        <v>6419.03</v>
      </c>
      <c r="M164" s="446">
        <f t="shared" si="120"/>
        <v>349.59</v>
      </c>
      <c r="N164" s="446">
        <f t="shared" si="120"/>
        <v>1824.67</v>
      </c>
      <c r="O164" s="446">
        <f t="shared" si="120"/>
        <v>1737.67</v>
      </c>
      <c r="P164" s="446">
        <f t="shared" si="120"/>
        <v>87</v>
      </c>
      <c r="Q164" s="446">
        <f t="shared" si="120"/>
        <v>2455.35</v>
      </c>
      <c r="R164" s="446">
        <f t="shared" si="120"/>
        <v>2329.56</v>
      </c>
      <c r="S164" s="446">
        <f t="shared" si="120"/>
        <v>125.78999999999999</v>
      </c>
      <c r="T164" s="446">
        <f t="shared" si="120"/>
        <v>2488.6</v>
      </c>
      <c r="U164" s="446">
        <f t="shared" si="120"/>
        <v>2351.8000000000002</v>
      </c>
      <c r="V164" s="446">
        <f t="shared" si="120"/>
        <v>136.79999999999998</v>
      </c>
      <c r="W164" s="446">
        <f>SUM(W165:W182)</f>
        <v>3368.91</v>
      </c>
      <c r="X164" s="446">
        <f t="shared" ref="X164:Y164" si="121">SUM(X165:X182)</f>
        <v>3235.64</v>
      </c>
      <c r="Y164" s="446">
        <f t="shared" si="121"/>
        <v>133.27000000000001</v>
      </c>
      <c r="Z164" s="446"/>
      <c r="AA164" s="446">
        <f t="shared" si="120"/>
        <v>0</v>
      </c>
      <c r="AB164" s="16"/>
      <c r="AC164" s="368">
        <f>+'NĂM 2022'!K59+'NĂM 2023'!N69+'NĂM 2024'!J64+'NĂM 2025'!J57</f>
        <v>10137.529999999999</v>
      </c>
      <c r="AD164" s="368">
        <f>+'NĂM 2022'!L59+'NĂM 2023'!O69+'NĂM 2024'!K64+'NĂM 2025'!K57</f>
        <v>9654.67</v>
      </c>
      <c r="AE164" s="368">
        <f>+'NĂM 2022'!M59+'NĂM 2023'!P69+'NĂM 2024'!L64+'NĂM 2025'!L57</f>
        <v>482.86</v>
      </c>
    </row>
    <row r="165" spans="1:31" ht="75" hidden="1">
      <c r="A165" s="8">
        <v>1</v>
      </c>
      <c r="B165" s="328" t="s">
        <v>329</v>
      </c>
      <c r="C165" s="8" t="s">
        <v>330</v>
      </c>
      <c r="D165" s="8"/>
      <c r="E165" s="8" t="s">
        <v>128</v>
      </c>
      <c r="F165" s="27" t="s">
        <v>52</v>
      </c>
      <c r="G165" s="445">
        <f t="shared" ref="G165:G233" si="122">H165+I165</f>
        <v>1050</v>
      </c>
      <c r="H165" s="445">
        <v>1000</v>
      </c>
      <c r="I165" s="445">
        <v>50</v>
      </c>
      <c r="J165" s="451">
        <v>0</v>
      </c>
      <c r="K165" s="451">
        <f>+L165+M165</f>
        <v>1050</v>
      </c>
      <c r="L165" s="451">
        <f>+O165+R165+U165</f>
        <v>1000</v>
      </c>
      <c r="M165" s="451">
        <f>+P165+S165+V165</f>
        <v>50</v>
      </c>
      <c r="N165" s="445">
        <f t="shared" ref="N165:N233" si="123">O165+P165</f>
        <v>1050</v>
      </c>
      <c r="O165" s="445">
        <v>1000</v>
      </c>
      <c r="P165" s="445">
        <v>50</v>
      </c>
      <c r="Q165" s="445"/>
      <c r="R165" s="481"/>
      <c r="S165" s="481"/>
      <c r="T165" s="445"/>
      <c r="U165" s="481"/>
      <c r="V165" s="481"/>
      <c r="W165" s="445"/>
      <c r="X165" s="481"/>
      <c r="Y165" s="481"/>
      <c r="Z165" s="445"/>
      <c r="AA165" s="451"/>
      <c r="AB165" s="15"/>
      <c r="AC165" s="506">
        <f>+G164-K164</f>
        <v>3368.9100000000008</v>
      </c>
      <c r="AD165" s="506">
        <f>+H164-L164</f>
        <v>3235.6400000000003</v>
      </c>
      <c r="AE165" s="506">
        <f>+I164-M164</f>
        <v>133.26999999999998</v>
      </c>
    </row>
    <row r="166" spans="1:31" ht="75" hidden="1">
      <c r="A166" s="8">
        <v>2</v>
      </c>
      <c r="B166" s="328" t="s">
        <v>331</v>
      </c>
      <c r="C166" s="135" t="s">
        <v>808</v>
      </c>
      <c r="D166" s="8"/>
      <c r="E166" s="8" t="s">
        <v>128</v>
      </c>
      <c r="F166" s="27" t="s">
        <v>52</v>
      </c>
      <c r="G166" s="445">
        <f t="shared" si="122"/>
        <v>774.67</v>
      </c>
      <c r="H166" s="445">
        <v>737.67</v>
      </c>
      <c r="I166" s="445">
        <v>37</v>
      </c>
      <c r="J166" s="451">
        <v>0</v>
      </c>
      <c r="K166" s="451">
        <f t="shared" ref="K166:K179" si="124">+L166+M166</f>
        <v>774.67</v>
      </c>
      <c r="L166" s="451">
        <f t="shared" ref="L166:L179" si="125">+O166+R166+U166</f>
        <v>737.67</v>
      </c>
      <c r="M166" s="451">
        <f t="shared" ref="M166:M179" si="126">+P166+S166+V166</f>
        <v>37</v>
      </c>
      <c r="N166" s="445">
        <f t="shared" si="123"/>
        <v>774.67</v>
      </c>
      <c r="O166" s="445">
        <v>737.67</v>
      </c>
      <c r="P166" s="445">
        <v>37</v>
      </c>
      <c r="Q166" s="445"/>
      <c r="R166" s="481"/>
      <c r="S166" s="481"/>
      <c r="T166" s="445"/>
      <c r="U166" s="481"/>
      <c r="V166" s="481"/>
      <c r="W166" s="445"/>
      <c r="X166" s="481"/>
      <c r="Y166" s="481"/>
      <c r="Z166" s="445"/>
      <c r="AA166" s="451"/>
      <c r="AB166" s="15"/>
      <c r="AC166" s="506">
        <f>+AC165-W164</f>
        <v>0</v>
      </c>
      <c r="AD166" s="506">
        <f t="shared" ref="AD166:AE166" si="127">+AD165-X164</f>
        <v>0</v>
      </c>
      <c r="AE166" s="506">
        <f t="shared" si="127"/>
        <v>0</v>
      </c>
    </row>
    <row r="167" spans="1:31" ht="75" hidden="1">
      <c r="A167" s="8">
        <v>3</v>
      </c>
      <c r="B167" s="328" t="s">
        <v>333</v>
      </c>
      <c r="C167" s="8" t="s">
        <v>334</v>
      </c>
      <c r="D167" s="8"/>
      <c r="E167" s="8" t="s">
        <v>128</v>
      </c>
      <c r="F167" s="27" t="s">
        <v>53</v>
      </c>
      <c r="G167" s="445">
        <f t="shared" si="122"/>
        <v>876.75</v>
      </c>
      <c r="H167" s="445">
        <v>835</v>
      </c>
      <c r="I167" s="445">
        <v>41.75</v>
      </c>
      <c r="J167" s="451">
        <v>0</v>
      </c>
      <c r="K167" s="451">
        <f t="shared" si="124"/>
        <v>686.5</v>
      </c>
      <c r="L167" s="451">
        <f t="shared" si="125"/>
        <v>650</v>
      </c>
      <c r="M167" s="451">
        <f t="shared" si="126"/>
        <v>36.5</v>
      </c>
      <c r="N167" s="445">
        <f t="shared" si="123"/>
        <v>0</v>
      </c>
      <c r="O167" s="451"/>
      <c r="P167" s="451"/>
      <c r="Q167" s="451">
        <f>+R167+S167</f>
        <v>686.5</v>
      </c>
      <c r="R167" s="483">
        <v>650</v>
      </c>
      <c r="S167" s="483">
        <v>36.5</v>
      </c>
      <c r="T167" s="451"/>
      <c r="U167" s="483"/>
      <c r="V167" s="483"/>
      <c r="W167" s="451"/>
      <c r="X167" s="483"/>
      <c r="Y167" s="483"/>
      <c r="Z167" s="451"/>
      <c r="AA167" s="451"/>
      <c r="AB167" s="15"/>
    </row>
    <row r="168" spans="1:31" ht="75" hidden="1">
      <c r="A168" s="8">
        <v>4</v>
      </c>
      <c r="B168" s="328" t="s">
        <v>335</v>
      </c>
      <c r="C168" s="8" t="s">
        <v>336</v>
      </c>
      <c r="D168" s="8"/>
      <c r="E168" s="8" t="s">
        <v>337</v>
      </c>
      <c r="F168" s="27" t="s">
        <v>53</v>
      </c>
      <c r="G168" s="445">
        <f t="shared" si="122"/>
        <v>315</v>
      </c>
      <c r="H168" s="445">
        <v>300</v>
      </c>
      <c r="I168" s="445">
        <v>15</v>
      </c>
      <c r="J168" s="451">
        <v>0</v>
      </c>
      <c r="K168" s="451">
        <f t="shared" si="124"/>
        <v>420.35</v>
      </c>
      <c r="L168" s="451">
        <f t="shared" si="125"/>
        <v>399.56</v>
      </c>
      <c r="M168" s="451">
        <f t="shared" si="126"/>
        <v>20.79</v>
      </c>
      <c r="N168" s="445">
        <f t="shared" si="123"/>
        <v>0</v>
      </c>
      <c r="O168" s="451"/>
      <c r="P168" s="451"/>
      <c r="Q168" s="451">
        <f t="shared" ref="Q168:Q170" si="128">+R168+S168</f>
        <v>420.35</v>
      </c>
      <c r="R168" s="483">
        <v>399.56</v>
      </c>
      <c r="S168" s="483">
        <v>20.79</v>
      </c>
      <c r="T168" s="451"/>
      <c r="U168" s="483"/>
      <c r="V168" s="483"/>
      <c r="W168" s="451"/>
      <c r="X168" s="483"/>
      <c r="Y168" s="483"/>
      <c r="Z168" s="451"/>
      <c r="AA168" s="451"/>
      <c r="AB168" s="15"/>
    </row>
    <row r="169" spans="1:31" ht="75" hidden="1">
      <c r="A169" s="8">
        <v>5</v>
      </c>
      <c r="B169" s="328" t="s">
        <v>338</v>
      </c>
      <c r="C169" s="8" t="s">
        <v>339</v>
      </c>
      <c r="D169" s="8"/>
      <c r="E169" s="8" t="s">
        <v>104</v>
      </c>
      <c r="F169" s="27" t="s">
        <v>53</v>
      </c>
      <c r="G169" s="445">
        <f t="shared" si="122"/>
        <v>735</v>
      </c>
      <c r="H169" s="445">
        <v>700</v>
      </c>
      <c r="I169" s="445">
        <v>35</v>
      </c>
      <c r="J169" s="451">
        <v>0</v>
      </c>
      <c r="K169" s="451">
        <f t="shared" si="124"/>
        <v>663.5</v>
      </c>
      <c r="L169" s="451">
        <f t="shared" si="125"/>
        <v>630</v>
      </c>
      <c r="M169" s="451">
        <f t="shared" si="126"/>
        <v>33.5</v>
      </c>
      <c r="N169" s="445">
        <f t="shared" si="123"/>
        <v>0</v>
      </c>
      <c r="O169" s="451"/>
      <c r="P169" s="451"/>
      <c r="Q169" s="451">
        <f t="shared" si="128"/>
        <v>663.5</v>
      </c>
      <c r="R169" s="483">
        <v>630</v>
      </c>
      <c r="S169" s="483">
        <v>33.5</v>
      </c>
      <c r="T169" s="451"/>
      <c r="U169" s="483"/>
      <c r="V169" s="483"/>
      <c r="W169" s="451"/>
      <c r="X169" s="483"/>
      <c r="Y169" s="483"/>
      <c r="Z169" s="451"/>
      <c r="AA169" s="451"/>
      <c r="AB169" s="15"/>
    </row>
    <row r="170" spans="1:31" ht="75" hidden="1">
      <c r="A170" s="8">
        <v>6</v>
      </c>
      <c r="B170" s="328" t="s">
        <v>340</v>
      </c>
      <c r="C170" s="8" t="s">
        <v>330</v>
      </c>
      <c r="D170" s="8"/>
      <c r="E170" s="8" t="s">
        <v>341</v>
      </c>
      <c r="F170" s="27" t="s">
        <v>53</v>
      </c>
      <c r="G170" s="445">
        <f t="shared" si="122"/>
        <v>840</v>
      </c>
      <c r="H170" s="445">
        <v>800</v>
      </c>
      <c r="I170" s="445">
        <v>40</v>
      </c>
      <c r="J170" s="451">
        <v>0</v>
      </c>
      <c r="K170" s="451">
        <f t="shared" si="124"/>
        <v>685</v>
      </c>
      <c r="L170" s="451">
        <f t="shared" si="125"/>
        <v>650</v>
      </c>
      <c r="M170" s="451">
        <f t="shared" si="126"/>
        <v>35</v>
      </c>
      <c r="N170" s="445">
        <f t="shared" si="123"/>
        <v>0</v>
      </c>
      <c r="O170" s="451"/>
      <c r="P170" s="451"/>
      <c r="Q170" s="451">
        <f t="shared" si="128"/>
        <v>685</v>
      </c>
      <c r="R170" s="483">
        <v>650</v>
      </c>
      <c r="S170" s="483">
        <v>35</v>
      </c>
      <c r="T170" s="451"/>
      <c r="U170" s="483"/>
      <c r="V170" s="483"/>
      <c r="W170" s="451"/>
      <c r="X170" s="483"/>
      <c r="Y170" s="483"/>
      <c r="Z170" s="451"/>
      <c r="AA170" s="451"/>
      <c r="AB170" s="15"/>
    </row>
    <row r="171" spans="1:31" ht="75" hidden="1">
      <c r="A171" s="8">
        <v>7</v>
      </c>
      <c r="B171" s="328" t="s">
        <v>342</v>
      </c>
      <c r="C171" s="8" t="s">
        <v>343</v>
      </c>
      <c r="D171" s="8"/>
      <c r="E171" s="8" t="s">
        <v>159</v>
      </c>
      <c r="F171" s="8" t="s">
        <v>54</v>
      </c>
      <c r="G171" s="445">
        <f t="shared" si="122"/>
        <v>1050</v>
      </c>
      <c r="H171" s="445">
        <v>1000</v>
      </c>
      <c r="I171" s="445">
        <v>50</v>
      </c>
      <c r="J171" s="451">
        <v>0</v>
      </c>
      <c r="K171" s="451">
        <f t="shared" si="124"/>
        <v>846.4</v>
      </c>
      <c r="L171" s="451">
        <f t="shared" si="125"/>
        <v>800</v>
      </c>
      <c r="M171" s="451">
        <f t="shared" si="126"/>
        <v>46.4</v>
      </c>
      <c r="N171" s="445">
        <f t="shared" si="123"/>
        <v>0</v>
      </c>
      <c r="O171" s="451"/>
      <c r="P171" s="451"/>
      <c r="Q171" s="451"/>
      <c r="R171" s="483"/>
      <c r="S171" s="483"/>
      <c r="T171" s="451">
        <f>+U171+V171</f>
        <v>846.4</v>
      </c>
      <c r="U171" s="483">
        <v>800</v>
      </c>
      <c r="V171" s="483">
        <v>46.4</v>
      </c>
      <c r="W171" s="451"/>
      <c r="X171" s="483"/>
      <c r="Y171" s="483"/>
      <c r="Z171" s="451"/>
      <c r="AA171" s="451"/>
      <c r="AB171" s="15"/>
    </row>
    <row r="172" spans="1:31" ht="75" hidden="1">
      <c r="A172" s="8">
        <v>8</v>
      </c>
      <c r="B172" s="328" t="s">
        <v>344</v>
      </c>
      <c r="C172" s="8" t="s">
        <v>345</v>
      </c>
      <c r="D172" s="8"/>
      <c r="E172" s="8" t="s">
        <v>94</v>
      </c>
      <c r="F172" s="8" t="s">
        <v>54</v>
      </c>
      <c r="G172" s="445">
        <f t="shared" si="122"/>
        <v>361.2</v>
      </c>
      <c r="H172" s="445">
        <v>344</v>
      </c>
      <c r="I172" s="445">
        <v>17.2</v>
      </c>
      <c r="J172" s="451">
        <v>0</v>
      </c>
      <c r="K172" s="451">
        <f t="shared" si="124"/>
        <v>0</v>
      </c>
      <c r="L172" s="451">
        <f t="shared" si="125"/>
        <v>0</v>
      </c>
      <c r="M172" s="451">
        <f t="shared" si="126"/>
        <v>0</v>
      </c>
      <c r="N172" s="445">
        <f t="shared" si="123"/>
        <v>0</v>
      </c>
      <c r="O172" s="451"/>
      <c r="P172" s="451"/>
      <c r="Q172" s="451"/>
      <c r="R172" s="483"/>
      <c r="S172" s="483"/>
      <c r="T172" s="451">
        <f>+U172+V172</f>
        <v>0</v>
      </c>
      <c r="U172" s="483"/>
      <c r="V172" s="483"/>
      <c r="W172" s="451"/>
      <c r="X172" s="483"/>
      <c r="Y172" s="483"/>
      <c r="Z172" s="451"/>
      <c r="AA172" s="451"/>
      <c r="AB172" s="15"/>
    </row>
    <row r="173" spans="1:31" ht="75" hidden="1">
      <c r="A173" s="8">
        <v>9</v>
      </c>
      <c r="B173" s="328" t="s">
        <v>346</v>
      </c>
      <c r="C173" s="8" t="s">
        <v>347</v>
      </c>
      <c r="D173" s="8"/>
      <c r="E173" s="8" t="s">
        <v>348</v>
      </c>
      <c r="F173" s="8" t="s">
        <v>54</v>
      </c>
      <c r="G173" s="445">
        <f t="shared" si="122"/>
        <v>1050</v>
      </c>
      <c r="H173" s="445">
        <v>1000</v>
      </c>
      <c r="I173" s="445">
        <v>50</v>
      </c>
      <c r="J173" s="451">
        <v>0</v>
      </c>
      <c r="K173" s="451">
        <f t="shared" si="124"/>
        <v>457.2</v>
      </c>
      <c r="L173" s="451">
        <f t="shared" si="125"/>
        <v>431.8</v>
      </c>
      <c r="M173" s="451">
        <f t="shared" si="126"/>
        <v>25.4</v>
      </c>
      <c r="N173" s="445">
        <f t="shared" si="123"/>
        <v>0</v>
      </c>
      <c r="O173" s="451"/>
      <c r="P173" s="451"/>
      <c r="Q173" s="451"/>
      <c r="R173" s="483"/>
      <c r="S173" s="483"/>
      <c r="T173" s="451">
        <f>+U173+V173</f>
        <v>457.2</v>
      </c>
      <c r="U173" s="483">
        <v>431.8</v>
      </c>
      <c r="V173" s="483">
        <v>25.4</v>
      </c>
      <c r="W173" s="451"/>
      <c r="X173" s="483"/>
      <c r="Y173" s="483"/>
      <c r="Z173" s="451"/>
      <c r="AA173" s="451"/>
      <c r="AB173" s="15"/>
    </row>
    <row r="174" spans="1:31" ht="75" hidden="1">
      <c r="A174" s="8">
        <v>10</v>
      </c>
      <c r="B174" s="328" t="s">
        <v>349</v>
      </c>
      <c r="C174" s="8" t="s">
        <v>350</v>
      </c>
      <c r="D174" s="8"/>
      <c r="E174" s="8" t="s">
        <v>348</v>
      </c>
      <c r="F174" s="8" t="s">
        <v>54</v>
      </c>
      <c r="G174" s="445">
        <f t="shared" si="122"/>
        <v>320.25</v>
      </c>
      <c r="H174" s="445">
        <v>305</v>
      </c>
      <c r="I174" s="445">
        <v>15.25</v>
      </c>
      <c r="J174" s="451">
        <v>0</v>
      </c>
      <c r="K174" s="451">
        <f t="shared" si="124"/>
        <v>846.4</v>
      </c>
      <c r="L174" s="451">
        <f t="shared" si="125"/>
        <v>800</v>
      </c>
      <c r="M174" s="451">
        <f t="shared" si="126"/>
        <v>46.4</v>
      </c>
      <c r="N174" s="445">
        <f t="shared" si="123"/>
        <v>0</v>
      </c>
      <c r="O174" s="451"/>
      <c r="P174" s="451"/>
      <c r="Q174" s="451"/>
      <c r="R174" s="483"/>
      <c r="S174" s="483"/>
      <c r="T174" s="451">
        <f>+U174+V174</f>
        <v>846.4</v>
      </c>
      <c r="U174" s="483">
        <v>800</v>
      </c>
      <c r="V174" s="483">
        <v>46.4</v>
      </c>
      <c r="W174" s="451"/>
      <c r="X174" s="483"/>
      <c r="Y174" s="483"/>
      <c r="Z174" s="451"/>
      <c r="AA174" s="451"/>
      <c r="AB174" s="15"/>
    </row>
    <row r="175" spans="1:31" ht="75" hidden="1">
      <c r="A175" s="8">
        <v>11</v>
      </c>
      <c r="B175" s="328" t="s">
        <v>1124</v>
      </c>
      <c r="C175" s="8" t="s">
        <v>352</v>
      </c>
      <c r="D175" s="8"/>
      <c r="E175" s="8" t="s">
        <v>94</v>
      </c>
      <c r="F175" s="8" t="s">
        <v>55</v>
      </c>
      <c r="G175" s="445">
        <f t="shared" si="122"/>
        <v>420</v>
      </c>
      <c r="H175" s="445">
        <v>400</v>
      </c>
      <c r="I175" s="445">
        <v>20</v>
      </c>
      <c r="J175" s="451">
        <v>0</v>
      </c>
      <c r="K175" s="451">
        <f t="shared" si="124"/>
        <v>0</v>
      </c>
      <c r="L175" s="451">
        <f t="shared" si="125"/>
        <v>0</v>
      </c>
      <c r="M175" s="451">
        <f t="shared" si="126"/>
        <v>0</v>
      </c>
      <c r="N175" s="445">
        <f t="shared" si="123"/>
        <v>0</v>
      </c>
      <c r="O175" s="451"/>
      <c r="P175" s="451"/>
      <c r="Q175" s="451"/>
      <c r="R175" s="483"/>
      <c r="S175" s="483"/>
      <c r="T175" s="451"/>
      <c r="U175" s="483"/>
      <c r="V175" s="483"/>
      <c r="W175" s="451">
        <f>+X175+Y175</f>
        <v>420</v>
      </c>
      <c r="X175" s="483">
        <v>400</v>
      </c>
      <c r="Y175" s="483">
        <v>20</v>
      </c>
      <c r="Z175" s="451"/>
      <c r="AA175" s="451"/>
      <c r="AB175" s="15"/>
    </row>
    <row r="176" spans="1:31" ht="75" hidden="1">
      <c r="A176" s="8">
        <v>12</v>
      </c>
      <c r="B176" s="328" t="s">
        <v>353</v>
      </c>
      <c r="C176" s="8" t="s">
        <v>354</v>
      </c>
      <c r="D176" s="8"/>
      <c r="E176" s="8" t="s">
        <v>128</v>
      </c>
      <c r="F176" s="8" t="s">
        <v>55</v>
      </c>
      <c r="G176" s="445">
        <f t="shared" si="122"/>
        <v>454.65</v>
      </c>
      <c r="H176" s="445">
        <v>433</v>
      </c>
      <c r="I176" s="445">
        <v>21.65</v>
      </c>
      <c r="J176" s="451">
        <v>0</v>
      </c>
      <c r="K176" s="451">
        <f t="shared" si="124"/>
        <v>0</v>
      </c>
      <c r="L176" s="451">
        <f t="shared" si="125"/>
        <v>0</v>
      </c>
      <c r="M176" s="451">
        <f t="shared" si="126"/>
        <v>0</v>
      </c>
      <c r="N176" s="445">
        <f t="shared" si="123"/>
        <v>0</v>
      </c>
      <c r="O176" s="451"/>
      <c r="P176" s="451"/>
      <c r="Q176" s="451"/>
      <c r="R176" s="483"/>
      <c r="S176" s="483"/>
      <c r="T176" s="451"/>
      <c r="U176" s="483"/>
      <c r="V176" s="483"/>
      <c r="W176" s="451">
        <f t="shared" ref="W176:W178" si="129">+X176+Y176</f>
        <v>454.7</v>
      </c>
      <c r="X176" s="483">
        <v>433</v>
      </c>
      <c r="Y176" s="483">
        <v>21.7</v>
      </c>
      <c r="Z176" s="451"/>
      <c r="AA176" s="451"/>
      <c r="AB176" s="15"/>
    </row>
    <row r="177" spans="1:31" ht="75" hidden="1">
      <c r="A177" s="8">
        <v>13</v>
      </c>
      <c r="B177" s="328" t="s">
        <v>355</v>
      </c>
      <c r="C177" s="8" t="s">
        <v>334</v>
      </c>
      <c r="D177" s="8"/>
      <c r="E177" s="8" t="s">
        <v>128</v>
      </c>
      <c r="F177" s="8" t="s">
        <v>55</v>
      </c>
      <c r="G177" s="445">
        <f t="shared" si="122"/>
        <v>1050</v>
      </c>
      <c r="H177" s="445">
        <v>1000</v>
      </c>
      <c r="I177" s="445">
        <v>50</v>
      </c>
      <c r="J177" s="451"/>
      <c r="K177" s="451">
        <f t="shared" si="124"/>
        <v>0</v>
      </c>
      <c r="L177" s="451">
        <f t="shared" si="125"/>
        <v>0</v>
      </c>
      <c r="M177" s="451">
        <f t="shared" si="126"/>
        <v>0</v>
      </c>
      <c r="N177" s="445">
        <f t="shared" si="123"/>
        <v>0</v>
      </c>
      <c r="O177" s="451"/>
      <c r="P177" s="451"/>
      <c r="Q177" s="451"/>
      <c r="R177" s="483"/>
      <c r="S177" s="483"/>
      <c r="T177" s="451"/>
      <c r="U177" s="483"/>
      <c r="V177" s="483"/>
      <c r="W177" s="451">
        <f t="shared" si="129"/>
        <v>550</v>
      </c>
      <c r="X177" s="483">
        <v>533</v>
      </c>
      <c r="Y177" s="483">
        <v>17</v>
      </c>
      <c r="Z177" s="451"/>
      <c r="AA177" s="451"/>
      <c r="AB177" s="15"/>
    </row>
    <row r="178" spans="1:31" ht="75" hidden="1">
      <c r="A178" s="8">
        <v>14</v>
      </c>
      <c r="B178" s="328" t="s">
        <v>356</v>
      </c>
      <c r="C178" s="8" t="s">
        <v>330</v>
      </c>
      <c r="D178" s="8"/>
      <c r="E178" s="8" t="s">
        <v>94</v>
      </c>
      <c r="F178" s="8" t="s">
        <v>55</v>
      </c>
      <c r="G178" s="445">
        <f t="shared" si="122"/>
        <v>420</v>
      </c>
      <c r="H178" s="445">
        <v>400</v>
      </c>
      <c r="I178" s="445">
        <v>20</v>
      </c>
      <c r="J178" s="451"/>
      <c r="K178" s="451">
        <f t="shared" si="124"/>
        <v>0</v>
      </c>
      <c r="L178" s="451">
        <f t="shared" si="125"/>
        <v>0</v>
      </c>
      <c r="M178" s="451">
        <f t="shared" si="126"/>
        <v>0</v>
      </c>
      <c r="N178" s="445">
        <f t="shared" si="123"/>
        <v>0</v>
      </c>
      <c r="O178" s="451"/>
      <c r="P178" s="451"/>
      <c r="Q178" s="451"/>
      <c r="R178" s="483"/>
      <c r="S178" s="483"/>
      <c r="T178" s="451"/>
      <c r="U178" s="483"/>
      <c r="V178" s="483"/>
      <c r="W178" s="451">
        <f t="shared" si="129"/>
        <v>420</v>
      </c>
      <c r="X178" s="483">
        <v>400</v>
      </c>
      <c r="Y178" s="483">
        <v>20</v>
      </c>
      <c r="Z178" s="451"/>
      <c r="AA178" s="451"/>
      <c r="AB178" s="15"/>
    </row>
    <row r="179" spans="1:31" ht="75" hidden="1">
      <c r="A179" s="8">
        <v>15</v>
      </c>
      <c r="B179" s="328" t="s">
        <v>357</v>
      </c>
      <c r="C179" s="8" t="s">
        <v>332</v>
      </c>
      <c r="D179" s="8"/>
      <c r="E179" s="8" t="s">
        <v>94</v>
      </c>
      <c r="F179" s="8" t="s">
        <v>55</v>
      </c>
      <c r="G179" s="445">
        <f t="shared" si="122"/>
        <v>420.01</v>
      </c>
      <c r="H179" s="445">
        <v>400</v>
      </c>
      <c r="I179" s="445">
        <v>20.010000000000002</v>
      </c>
      <c r="J179" s="451"/>
      <c r="K179" s="451">
        <f t="shared" si="124"/>
        <v>338.6</v>
      </c>
      <c r="L179" s="451">
        <f t="shared" si="125"/>
        <v>320</v>
      </c>
      <c r="M179" s="451">
        <f t="shared" si="126"/>
        <v>18.600000000000001</v>
      </c>
      <c r="N179" s="445">
        <f t="shared" si="123"/>
        <v>0</v>
      </c>
      <c r="O179" s="451"/>
      <c r="P179" s="451"/>
      <c r="Q179" s="451"/>
      <c r="R179" s="483"/>
      <c r="S179" s="483"/>
      <c r="T179" s="451">
        <f>+U179+V179</f>
        <v>338.6</v>
      </c>
      <c r="U179" s="483">
        <v>320</v>
      </c>
      <c r="V179" s="483">
        <v>18.600000000000001</v>
      </c>
      <c r="W179" s="451"/>
      <c r="X179" s="483"/>
      <c r="Y179" s="483"/>
      <c r="Z179" s="451"/>
      <c r="AA179" s="451"/>
      <c r="AB179" s="15"/>
    </row>
    <row r="180" spans="1:31" ht="30" hidden="1">
      <c r="A180" s="8"/>
      <c r="B180" s="328" t="s">
        <v>1152</v>
      </c>
      <c r="C180" s="8" t="s">
        <v>1153</v>
      </c>
      <c r="D180" s="8"/>
      <c r="E180" s="8"/>
      <c r="F180" s="8"/>
      <c r="G180" s="445"/>
      <c r="H180" s="445"/>
      <c r="I180" s="445"/>
      <c r="J180" s="451"/>
      <c r="K180" s="451"/>
      <c r="L180" s="451"/>
      <c r="M180" s="451"/>
      <c r="N180" s="445"/>
      <c r="O180" s="451"/>
      <c r="P180" s="451"/>
      <c r="Q180" s="451"/>
      <c r="R180" s="483"/>
      <c r="S180" s="483"/>
      <c r="T180" s="451"/>
      <c r="U180" s="483"/>
      <c r="V180" s="483"/>
      <c r="W180" s="451">
        <f>+X180+Y180</f>
        <v>420</v>
      </c>
      <c r="X180" s="483">
        <v>400</v>
      </c>
      <c r="Y180" s="483">
        <v>20</v>
      </c>
      <c r="Z180" s="451"/>
      <c r="AA180" s="451"/>
      <c r="AB180" s="15"/>
    </row>
    <row r="181" spans="1:31" ht="30" hidden="1">
      <c r="A181" s="8"/>
      <c r="B181" s="328" t="s">
        <v>1149</v>
      </c>
      <c r="C181" s="8" t="s">
        <v>1151</v>
      </c>
      <c r="D181" s="8"/>
      <c r="E181" s="8"/>
      <c r="F181" s="8"/>
      <c r="G181" s="445"/>
      <c r="H181" s="445"/>
      <c r="I181" s="445"/>
      <c r="J181" s="451"/>
      <c r="K181" s="451"/>
      <c r="L181" s="451"/>
      <c r="M181" s="451"/>
      <c r="N181" s="445"/>
      <c r="O181" s="451"/>
      <c r="P181" s="451"/>
      <c r="Q181" s="451"/>
      <c r="R181" s="483"/>
      <c r="S181" s="483"/>
      <c r="T181" s="451"/>
      <c r="U181" s="483"/>
      <c r="V181" s="483"/>
      <c r="W181" s="451">
        <f>+X181+Y181</f>
        <v>743.01</v>
      </c>
      <c r="X181" s="483">
        <f>736.1-10.46</f>
        <v>725.64</v>
      </c>
      <c r="Y181" s="483">
        <v>17.37</v>
      </c>
      <c r="Z181" s="451"/>
      <c r="AA181" s="451"/>
      <c r="AB181" s="15"/>
    </row>
    <row r="182" spans="1:31" ht="30" hidden="1">
      <c r="A182" s="8"/>
      <c r="B182" s="328" t="s">
        <v>1150</v>
      </c>
      <c r="C182" s="8" t="s">
        <v>1151</v>
      </c>
      <c r="D182" s="8"/>
      <c r="E182" s="8"/>
      <c r="F182" s="8"/>
      <c r="G182" s="445"/>
      <c r="H182" s="445"/>
      <c r="I182" s="445"/>
      <c r="J182" s="451"/>
      <c r="K182" s="451"/>
      <c r="L182" s="451"/>
      <c r="M182" s="451"/>
      <c r="N182" s="445"/>
      <c r="O182" s="451"/>
      <c r="P182" s="451"/>
      <c r="Q182" s="451"/>
      <c r="R182" s="483"/>
      <c r="S182" s="483"/>
      <c r="T182" s="451"/>
      <c r="U182" s="483"/>
      <c r="V182" s="483"/>
      <c r="W182" s="451">
        <f>+X182+Y182</f>
        <v>361.2</v>
      </c>
      <c r="X182" s="483">
        <v>344</v>
      </c>
      <c r="Y182" s="483">
        <v>17.2</v>
      </c>
      <c r="Z182" s="451"/>
      <c r="AA182" s="451"/>
      <c r="AB182" s="15"/>
    </row>
    <row r="183" spans="1:31" s="14" customFormat="1" ht="23.25" customHeight="1">
      <c r="A183" s="4" t="s">
        <v>998</v>
      </c>
      <c r="B183" s="507" t="s">
        <v>359</v>
      </c>
      <c r="C183" s="418"/>
      <c r="D183" s="418"/>
      <c r="E183" s="417">
        <v>0</v>
      </c>
      <c r="F183" s="417"/>
      <c r="G183" s="446">
        <f>SUM(G184:G197)</f>
        <v>11098.64</v>
      </c>
      <c r="H183" s="446">
        <f t="shared" ref="H183:AA183" si="130">SUM(H184:H197)</f>
        <v>10569.14</v>
      </c>
      <c r="I183" s="446">
        <f t="shared" si="130"/>
        <v>529.5</v>
      </c>
      <c r="J183" s="446">
        <f t="shared" si="130"/>
        <v>0</v>
      </c>
      <c r="K183" s="446">
        <f t="shared" si="130"/>
        <v>7409.4199999999992</v>
      </c>
      <c r="L183" s="446">
        <f t="shared" si="130"/>
        <v>7026.91</v>
      </c>
      <c r="M183" s="446">
        <f t="shared" si="130"/>
        <v>382.51</v>
      </c>
      <c r="N183" s="446">
        <f t="shared" si="130"/>
        <v>1997.25</v>
      </c>
      <c r="O183" s="446">
        <f t="shared" si="130"/>
        <v>1902.25</v>
      </c>
      <c r="P183" s="446">
        <f t="shared" si="130"/>
        <v>95</v>
      </c>
      <c r="Q183" s="446">
        <f t="shared" si="130"/>
        <v>2687.87</v>
      </c>
      <c r="R183" s="446">
        <f t="shared" si="130"/>
        <v>2550.16</v>
      </c>
      <c r="S183" s="446">
        <f t="shared" si="130"/>
        <v>137.70999999999998</v>
      </c>
      <c r="T183" s="446">
        <f t="shared" si="130"/>
        <v>2724.3</v>
      </c>
      <c r="U183" s="446">
        <f t="shared" si="130"/>
        <v>2574.5</v>
      </c>
      <c r="V183" s="446">
        <f t="shared" si="130"/>
        <v>149.80000000000001</v>
      </c>
      <c r="W183" s="446">
        <f>SUM(W184:W199)</f>
        <v>3689.2200000000003</v>
      </c>
      <c r="X183" s="446">
        <f t="shared" ref="X183:Y183" si="131">SUM(X184:X199)</f>
        <v>3542.2299999999996</v>
      </c>
      <c r="Y183" s="446">
        <f t="shared" si="131"/>
        <v>146.99</v>
      </c>
      <c r="Z183" s="446"/>
      <c r="AA183" s="446">
        <f t="shared" si="130"/>
        <v>0</v>
      </c>
      <c r="AB183" s="16"/>
      <c r="AC183" s="368">
        <f>+'NĂM 2022'!K62+'NĂM 2023'!N74+'NĂM 2024'!J69+'NĂM 2025'!J63</f>
        <v>11098.64</v>
      </c>
      <c r="AD183" s="368">
        <f>+'NĂM 2022'!L62+'NĂM 2023'!O74+'NĂM 2024'!K69+'NĂM 2025'!K63</f>
        <v>10569.14</v>
      </c>
      <c r="AE183" s="368">
        <f>+'NĂM 2022'!M62+'NĂM 2023'!P74+'NĂM 2024'!L69+'NĂM 2025'!L63</f>
        <v>529.5</v>
      </c>
    </row>
    <row r="184" spans="1:31" ht="75" hidden="1">
      <c r="A184" s="8">
        <v>1</v>
      </c>
      <c r="B184" s="328" t="s">
        <v>360</v>
      </c>
      <c r="C184" s="8" t="s">
        <v>361</v>
      </c>
      <c r="D184" s="8"/>
      <c r="E184" s="8" t="s">
        <v>326</v>
      </c>
      <c r="F184" s="27" t="s">
        <v>52</v>
      </c>
      <c r="G184" s="445">
        <f t="shared" si="122"/>
        <v>737.25</v>
      </c>
      <c r="H184" s="445">
        <v>702.25</v>
      </c>
      <c r="I184" s="445">
        <v>35</v>
      </c>
      <c r="J184" s="451">
        <v>0</v>
      </c>
      <c r="K184" s="451">
        <f>+L184+M184</f>
        <v>737.25</v>
      </c>
      <c r="L184" s="451">
        <f>+O184+R184+U184</f>
        <v>702.25</v>
      </c>
      <c r="M184" s="451">
        <f>+P184+S184+V184</f>
        <v>35</v>
      </c>
      <c r="N184" s="445">
        <f t="shared" si="123"/>
        <v>737.25</v>
      </c>
      <c r="O184" s="445">
        <v>702.25</v>
      </c>
      <c r="P184" s="445">
        <v>35</v>
      </c>
      <c r="Q184" s="445"/>
      <c r="R184" s="481"/>
      <c r="S184" s="481"/>
      <c r="T184" s="445"/>
      <c r="U184" s="481"/>
      <c r="V184" s="481"/>
      <c r="W184" s="445"/>
      <c r="X184" s="481"/>
      <c r="Y184" s="481"/>
      <c r="Z184" s="445"/>
      <c r="AA184" s="451"/>
      <c r="AB184" s="15"/>
      <c r="AC184" s="506">
        <f>+G183-K183</f>
        <v>3689.2200000000003</v>
      </c>
      <c r="AD184" s="506">
        <f>+H183-L183</f>
        <v>3542.2299999999996</v>
      </c>
      <c r="AE184" s="506">
        <f>+I183-M183</f>
        <v>146.99</v>
      </c>
    </row>
    <row r="185" spans="1:31" ht="75" hidden="1">
      <c r="A185" s="8">
        <v>2</v>
      </c>
      <c r="B185" s="328" t="s">
        <v>362</v>
      </c>
      <c r="C185" s="8" t="s">
        <v>363</v>
      </c>
      <c r="D185" s="8"/>
      <c r="E185" s="8" t="s">
        <v>94</v>
      </c>
      <c r="F185" s="27" t="s">
        <v>52</v>
      </c>
      <c r="G185" s="445">
        <f t="shared" si="122"/>
        <v>420</v>
      </c>
      <c r="H185" s="445">
        <v>400</v>
      </c>
      <c r="I185" s="445">
        <v>20</v>
      </c>
      <c r="J185" s="451">
        <v>0</v>
      </c>
      <c r="K185" s="451">
        <f t="shared" ref="K185:K197" si="132">+L185+M185</f>
        <v>420</v>
      </c>
      <c r="L185" s="451">
        <f t="shared" ref="L185:L197" si="133">+O185+R185+U185</f>
        <v>400</v>
      </c>
      <c r="M185" s="451">
        <f t="shared" ref="M185:M197" si="134">+P185+S185+V185</f>
        <v>20</v>
      </c>
      <c r="N185" s="445">
        <f t="shared" si="123"/>
        <v>420</v>
      </c>
      <c r="O185" s="445">
        <v>400</v>
      </c>
      <c r="P185" s="445">
        <v>20</v>
      </c>
      <c r="Q185" s="445"/>
      <c r="R185" s="481"/>
      <c r="S185" s="481"/>
      <c r="T185" s="445"/>
      <c r="U185" s="481"/>
      <c r="V185" s="481"/>
      <c r="W185" s="445"/>
      <c r="X185" s="481"/>
      <c r="Y185" s="481"/>
      <c r="Z185" s="445"/>
      <c r="AA185" s="451"/>
      <c r="AB185" s="15"/>
      <c r="AC185" s="365">
        <f>+AC184-W183</f>
        <v>0</v>
      </c>
      <c r="AD185" s="365">
        <f t="shared" ref="AD185:AE185" si="135">+AD184-X183</f>
        <v>0</v>
      </c>
      <c r="AE185" s="365">
        <f t="shared" si="135"/>
        <v>0</v>
      </c>
    </row>
    <row r="186" spans="1:31" ht="75" hidden="1">
      <c r="A186" s="8">
        <v>3</v>
      </c>
      <c r="B186" s="328" t="s">
        <v>364</v>
      </c>
      <c r="C186" s="8" t="s">
        <v>365</v>
      </c>
      <c r="D186" s="8"/>
      <c r="E186" s="8" t="s">
        <v>94</v>
      </c>
      <c r="F186" s="27" t="s">
        <v>52</v>
      </c>
      <c r="G186" s="445">
        <f t="shared" si="122"/>
        <v>420</v>
      </c>
      <c r="H186" s="445">
        <v>400</v>
      </c>
      <c r="I186" s="445">
        <v>20</v>
      </c>
      <c r="J186" s="451">
        <v>0</v>
      </c>
      <c r="K186" s="451">
        <f t="shared" si="132"/>
        <v>420</v>
      </c>
      <c r="L186" s="451">
        <f t="shared" si="133"/>
        <v>400</v>
      </c>
      <c r="M186" s="451">
        <f t="shared" si="134"/>
        <v>20</v>
      </c>
      <c r="N186" s="445">
        <f t="shared" si="123"/>
        <v>420</v>
      </c>
      <c r="O186" s="445">
        <v>400</v>
      </c>
      <c r="P186" s="445">
        <v>20</v>
      </c>
      <c r="Q186" s="445"/>
      <c r="R186" s="481"/>
      <c r="S186" s="481"/>
      <c r="T186" s="445"/>
      <c r="U186" s="481"/>
      <c r="V186" s="481"/>
      <c r="W186" s="445"/>
      <c r="X186" s="481"/>
      <c r="Y186" s="481"/>
      <c r="Z186" s="445"/>
      <c r="AA186" s="451"/>
      <c r="AB186" s="15"/>
    </row>
    <row r="187" spans="1:31" ht="75" hidden="1">
      <c r="A187" s="8">
        <v>4</v>
      </c>
      <c r="B187" s="328" t="s">
        <v>366</v>
      </c>
      <c r="C187" s="8" t="s">
        <v>367</v>
      </c>
      <c r="D187" s="8"/>
      <c r="E187" s="8" t="s">
        <v>94</v>
      </c>
      <c r="F187" s="27" t="s">
        <v>52</v>
      </c>
      <c r="G187" s="445">
        <f t="shared" si="122"/>
        <v>420</v>
      </c>
      <c r="H187" s="445">
        <v>400</v>
      </c>
      <c r="I187" s="445">
        <v>20</v>
      </c>
      <c r="J187" s="451">
        <v>0</v>
      </c>
      <c r="K187" s="451">
        <f t="shared" si="132"/>
        <v>420</v>
      </c>
      <c r="L187" s="451">
        <f t="shared" si="133"/>
        <v>400</v>
      </c>
      <c r="M187" s="451">
        <f t="shared" si="134"/>
        <v>20</v>
      </c>
      <c r="N187" s="445">
        <f t="shared" si="123"/>
        <v>420</v>
      </c>
      <c r="O187" s="445">
        <v>400</v>
      </c>
      <c r="P187" s="445">
        <v>20</v>
      </c>
      <c r="Q187" s="445"/>
      <c r="R187" s="481"/>
      <c r="S187" s="481"/>
      <c r="T187" s="445"/>
      <c r="U187" s="481"/>
      <c r="V187" s="481"/>
      <c r="W187" s="445"/>
      <c r="X187" s="481"/>
      <c r="Y187" s="481"/>
      <c r="Z187" s="445"/>
      <c r="AA187" s="451"/>
      <c r="AB187" s="15"/>
    </row>
    <row r="188" spans="1:31" ht="75" hidden="1">
      <c r="A188" s="8">
        <v>5</v>
      </c>
      <c r="B188" s="328" t="s">
        <v>368</v>
      </c>
      <c r="C188" s="8" t="s">
        <v>369</v>
      </c>
      <c r="D188" s="8"/>
      <c r="E188" s="8" t="s">
        <v>251</v>
      </c>
      <c r="F188" s="8" t="s">
        <v>53</v>
      </c>
      <c r="G188" s="445">
        <f t="shared" si="122"/>
        <v>1455</v>
      </c>
      <c r="H188" s="445">
        <v>1386</v>
      </c>
      <c r="I188" s="445">
        <v>69</v>
      </c>
      <c r="J188" s="451"/>
      <c r="K188" s="451">
        <f t="shared" si="132"/>
        <v>1190.5899999999999</v>
      </c>
      <c r="L188" s="451">
        <f t="shared" si="133"/>
        <v>1127.73</v>
      </c>
      <c r="M188" s="451">
        <f t="shared" si="134"/>
        <v>62.86</v>
      </c>
      <c r="N188" s="445">
        <f t="shared" si="123"/>
        <v>0</v>
      </c>
      <c r="O188" s="451"/>
      <c r="P188" s="451"/>
      <c r="Q188" s="451">
        <f>+R188+S188</f>
        <v>1190.5899999999999</v>
      </c>
      <c r="R188" s="483">
        <v>1127.73</v>
      </c>
      <c r="S188" s="483">
        <v>62.86</v>
      </c>
      <c r="T188" s="451"/>
      <c r="U188" s="483"/>
      <c r="V188" s="483"/>
      <c r="W188" s="451"/>
      <c r="X188" s="483"/>
      <c r="Y188" s="483"/>
      <c r="Z188" s="451"/>
      <c r="AA188" s="451"/>
      <c r="AB188" s="15"/>
    </row>
    <row r="189" spans="1:31" ht="75" hidden="1">
      <c r="A189" s="8">
        <v>6</v>
      </c>
      <c r="B189" s="328" t="s">
        <v>370</v>
      </c>
      <c r="C189" s="8" t="s">
        <v>371</v>
      </c>
      <c r="D189" s="8"/>
      <c r="E189" s="8" t="s">
        <v>372</v>
      </c>
      <c r="F189" s="8" t="s">
        <v>53</v>
      </c>
      <c r="G189" s="445">
        <f t="shared" si="122"/>
        <v>1890</v>
      </c>
      <c r="H189" s="445">
        <v>1800</v>
      </c>
      <c r="I189" s="445">
        <v>90</v>
      </c>
      <c r="J189" s="451"/>
      <c r="K189" s="451">
        <f t="shared" si="132"/>
        <v>1497.28</v>
      </c>
      <c r="L189" s="451">
        <f t="shared" si="133"/>
        <v>1422.43</v>
      </c>
      <c r="M189" s="451">
        <f t="shared" si="134"/>
        <v>74.849999999999994</v>
      </c>
      <c r="N189" s="445">
        <f t="shared" si="123"/>
        <v>0</v>
      </c>
      <c r="O189" s="451"/>
      <c r="P189" s="451"/>
      <c r="Q189" s="451">
        <f>+R189+S189</f>
        <v>1497.28</v>
      </c>
      <c r="R189" s="483">
        <v>1422.43</v>
      </c>
      <c r="S189" s="483">
        <v>74.849999999999994</v>
      </c>
      <c r="T189" s="451"/>
      <c r="U189" s="483"/>
      <c r="V189" s="483"/>
      <c r="W189" s="451"/>
      <c r="X189" s="483"/>
      <c r="Y189" s="483"/>
      <c r="Z189" s="451"/>
      <c r="AA189" s="451"/>
      <c r="AB189" s="15"/>
    </row>
    <row r="190" spans="1:31" ht="75" hidden="1">
      <c r="A190" s="8">
        <v>7</v>
      </c>
      <c r="B190" s="328" t="s">
        <v>373</v>
      </c>
      <c r="C190" s="8" t="s">
        <v>374</v>
      </c>
      <c r="D190" s="8"/>
      <c r="E190" s="8" t="s">
        <v>326</v>
      </c>
      <c r="F190" s="8" t="s">
        <v>53</v>
      </c>
      <c r="G190" s="445">
        <f t="shared" si="122"/>
        <v>1575</v>
      </c>
      <c r="H190" s="445">
        <v>1500</v>
      </c>
      <c r="I190" s="445">
        <v>75</v>
      </c>
      <c r="J190" s="451"/>
      <c r="K190" s="451">
        <f t="shared" si="132"/>
        <v>1513.2</v>
      </c>
      <c r="L190" s="451">
        <f t="shared" si="133"/>
        <v>1430</v>
      </c>
      <c r="M190" s="451">
        <f t="shared" si="134"/>
        <v>83.2</v>
      </c>
      <c r="N190" s="445">
        <f t="shared" si="123"/>
        <v>0</v>
      </c>
      <c r="O190" s="451"/>
      <c r="P190" s="451"/>
      <c r="Q190" s="451"/>
      <c r="R190" s="483"/>
      <c r="S190" s="483"/>
      <c r="T190" s="451">
        <f>+U190+V190</f>
        <v>1513.2</v>
      </c>
      <c r="U190" s="483">
        <v>1430</v>
      </c>
      <c r="V190" s="483">
        <v>83.2</v>
      </c>
      <c r="W190" s="451"/>
      <c r="X190" s="483"/>
      <c r="Y190" s="483"/>
      <c r="Z190" s="451"/>
      <c r="AA190" s="451"/>
      <c r="AB190" s="15"/>
    </row>
    <row r="191" spans="1:31" ht="30" hidden="1">
      <c r="A191" s="8">
        <v>8</v>
      </c>
      <c r="B191" s="328" t="s">
        <v>375</v>
      </c>
      <c r="C191" s="8" t="s">
        <v>376</v>
      </c>
      <c r="D191" s="8"/>
      <c r="E191" s="8" t="s">
        <v>377</v>
      </c>
      <c r="F191" s="8" t="s">
        <v>54</v>
      </c>
      <c r="G191" s="445">
        <f t="shared" si="122"/>
        <v>1064</v>
      </c>
      <c r="H191" s="445">
        <v>1014</v>
      </c>
      <c r="I191" s="445">
        <v>50</v>
      </c>
      <c r="J191" s="451"/>
      <c r="K191" s="451">
        <f t="shared" si="132"/>
        <v>1031.2</v>
      </c>
      <c r="L191" s="451">
        <f t="shared" si="133"/>
        <v>974.5</v>
      </c>
      <c r="M191" s="451">
        <f t="shared" si="134"/>
        <v>56.7</v>
      </c>
      <c r="N191" s="445">
        <f t="shared" si="123"/>
        <v>0</v>
      </c>
      <c r="O191" s="451"/>
      <c r="P191" s="451"/>
      <c r="Q191" s="451"/>
      <c r="R191" s="483"/>
      <c r="S191" s="483"/>
      <c r="T191" s="451">
        <f t="shared" ref="T191:T192" si="136">+U191+V191</f>
        <v>1031.2</v>
      </c>
      <c r="U191" s="483">
        <v>974.5</v>
      </c>
      <c r="V191" s="483">
        <v>56.7</v>
      </c>
      <c r="W191" s="451"/>
      <c r="X191" s="483"/>
      <c r="Y191" s="483"/>
      <c r="Z191" s="451"/>
      <c r="AA191" s="451"/>
      <c r="AB191" s="15"/>
    </row>
    <row r="192" spans="1:31" ht="30" hidden="1">
      <c r="A192" s="8">
        <v>9</v>
      </c>
      <c r="B192" s="328" t="s">
        <v>378</v>
      </c>
      <c r="C192" s="8" t="s">
        <v>379</v>
      </c>
      <c r="D192" s="8"/>
      <c r="E192" s="8" t="s">
        <v>380</v>
      </c>
      <c r="F192" s="8" t="s">
        <v>54</v>
      </c>
      <c r="G192" s="445">
        <f t="shared" si="122"/>
        <v>504</v>
      </c>
      <c r="H192" s="445">
        <v>480</v>
      </c>
      <c r="I192" s="445">
        <v>24</v>
      </c>
      <c r="J192" s="451">
        <v>0</v>
      </c>
      <c r="K192" s="451">
        <f t="shared" si="132"/>
        <v>179.9</v>
      </c>
      <c r="L192" s="451">
        <f t="shared" si="133"/>
        <v>170</v>
      </c>
      <c r="M192" s="451">
        <f t="shared" si="134"/>
        <v>9.9</v>
      </c>
      <c r="N192" s="445">
        <f t="shared" si="123"/>
        <v>0</v>
      </c>
      <c r="O192" s="451"/>
      <c r="P192" s="451"/>
      <c r="Q192" s="451"/>
      <c r="R192" s="483"/>
      <c r="S192" s="483"/>
      <c r="T192" s="451">
        <f t="shared" si="136"/>
        <v>179.9</v>
      </c>
      <c r="U192" s="483">
        <v>170</v>
      </c>
      <c r="V192" s="483">
        <v>9.9</v>
      </c>
      <c r="W192" s="451"/>
      <c r="X192" s="483"/>
      <c r="Y192" s="483"/>
      <c r="Z192" s="451"/>
      <c r="AA192" s="451"/>
      <c r="AB192" s="15"/>
    </row>
    <row r="193" spans="1:31" ht="30" hidden="1">
      <c r="A193" s="8">
        <v>10</v>
      </c>
      <c r="B193" s="327" t="s">
        <v>937</v>
      </c>
      <c r="C193" s="8" t="s">
        <v>381</v>
      </c>
      <c r="D193" s="8"/>
      <c r="E193" s="8" t="s">
        <v>382</v>
      </c>
      <c r="F193" s="8" t="s">
        <v>54</v>
      </c>
      <c r="G193" s="445">
        <f t="shared" si="122"/>
        <v>169.5</v>
      </c>
      <c r="H193" s="445">
        <v>160</v>
      </c>
      <c r="I193" s="445">
        <v>9.5</v>
      </c>
      <c r="J193" s="451">
        <v>0</v>
      </c>
      <c r="K193" s="451">
        <f t="shared" si="132"/>
        <v>0</v>
      </c>
      <c r="L193" s="451">
        <f t="shared" si="133"/>
        <v>0</v>
      </c>
      <c r="M193" s="451">
        <f t="shared" si="134"/>
        <v>0</v>
      </c>
      <c r="N193" s="445">
        <f t="shared" si="123"/>
        <v>0</v>
      </c>
      <c r="O193" s="451"/>
      <c r="P193" s="451"/>
      <c r="Q193" s="451"/>
      <c r="R193" s="483"/>
      <c r="S193" s="483"/>
      <c r="T193" s="451"/>
      <c r="U193" s="483"/>
      <c r="V193" s="483"/>
      <c r="W193" s="451">
        <f t="shared" ref="W193:W197" si="137">+X193+Y193</f>
        <v>169.5</v>
      </c>
      <c r="X193" s="445">
        <v>160</v>
      </c>
      <c r="Y193" s="445">
        <v>9.5</v>
      </c>
      <c r="Z193" s="451"/>
      <c r="AA193" s="451"/>
      <c r="AB193" s="15"/>
    </row>
    <row r="194" spans="1:31" ht="30" hidden="1">
      <c r="A194" s="8">
        <v>11</v>
      </c>
      <c r="B194" s="328" t="s">
        <v>383</v>
      </c>
      <c r="C194" s="8" t="s">
        <v>384</v>
      </c>
      <c r="D194" s="8"/>
      <c r="E194" s="8" t="s">
        <v>385</v>
      </c>
      <c r="F194" s="8" t="s">
        <v>54</v>
      </c>
      <c r="G194" s="445">
        <f t="shared" si="122"/>
        <v>420</v>
      </c>
      <c r="H194" s="445">
        <v>400</v>
      </c>
      <c r="I194" s="445">
        <v>20</v>
      </c>
      <c r="J194" s="451">
        <v>0</v>
      </c>
      <c r="K194" s="451">
        <f t="shared" si="132"/>
        <v>0</v>
      </c>
      <c r="L194" s="451">
        <f t="shared" si="133"/>
        <v>0</v>
      </c>
      <c r="M194" s="451">
        <f t="shared" si="134"/>
        <v>0</v>
      </c>
      <c r="N194" s="445">
        <f t="shared" si="123"/>
        <v>0</v>
      </c>
      <c r="O194" s="451"/>
      <c r="P194" s="451"/>
      <c r="Q194" s="451"/>
      <c r="R194" s="483"/>
      <c r="S194" s="483"/>
      <c r="T194" s="451"/>
      <c r="U194" s="483"/>
      <c r="V194" s="483"/>
      <c r="W194" s="451">
        <f t="shared" si="137"/>
        <v>420</v>
      </c>
      <c r="X194" s="445">
        <v>400</v>
      </c>
      <c r="Y194" s="445">
        <v>20</v>
      </c>
      <c r="Z194" s="451"/>
      <c r="AA194" s="451"/>
      <c r="AB194" s="15"/>
    </row>
    <row r="195" spans="1:31" ht="45" hidden="1">
      <c r="A195" s="8">
        <v>12</v>
      </c>
      <c r="B195" s="328" t="s">
        <v>386</v>
      </c>
      <c r="C195" s="8" t="s">
        <v>384</v>
      </c>
      <c r="D195" s="8"/>
      <c r="E195" s="8" t="s">
        <v>387</v>
      </c>
      <c r="F195" s="27" t="s">
        <v>55</v>
      </c>
      <c r="G195" s="445">
        <f t="shared" si="122"/>
        <v>414.89</v>
      </c>
      <c r="H195" s="445">
        <v>394.89</v>
      </c>
      <c r="I195" s="445">
        <v>20</v>
      </c>
      <c r="J195" s="451">
        <v>0</v>
      </c>
      <c r="K195" s="451">
        <f t="shared" si="132"/>
        <v>0</v>
      </c>
      <c r="L195" s="451">
        <f t="shared" si="133"/>
        <v>0</v>
      </c>
      <c r="M195" s="451">
        <f t="shared" si="134"/>
        <v>0</v>
      </c>
      <c r="N195" s="445">
        <f t="shared" si="123"/>
        <v>0</v>
      </c>
      <c r="O195" s="451"/>
      <c r="P195" s="451"/>
      <c r="Q195" s="451"/>
      <c r="R195" s="483"/>
      <c r="S195" s="483"/>
      <c r="T195" s="451"/>
      <c r="U195" s="483"/>
      <c r="V195" s="483"/>
      <c r="W195" s="451">
        <f t="shared" si="137"/>
        <v>414.89</v>
      </c>
      <c r="X195" s="445">
        <v>394.89</v>
      </c>
      <c r="Y195" s="445">
        <v>20</v>
      </c>
      <c r="Z195" s="451"/>
      <c r="AA195" s="451"/>
      <c r="AB195" s="15"/>
    </row>
    <row r="196" spans="1:31" ht="45" hidden="1">
      <c r="A196" s="8">
        <v>13</v>
      </c>
      <c r="B196" s="328" t="s">
        <v>388</v>
      </c>
      <c r="C196" s="8" t="s">
        <v>379</v>
      </c>
      <c r="D196" s="8"/>
      <c r="E196" s="8" t="s">
        <v>389</v>
      </c>
      <c r="F196" s="27" t="s">
        <v>55</v>
      </c>
      <c r="G196" s="445">
        <f t="shared" si="122"/>
        <v>559</v>
      </c>
      <c r="H196" s="445">
        <v>532</v>
      </c>
      <c r="I196" s="445">
        <v>27</v>
      </c>
      <c r="J196" s="451">
        <v>0</v>
      </c>
      <c r="K196" s="451">
        <f t="shared" si="132"/>
        <v>0</v>
      </c>
      <c r="L196" s="451">
        <f t="shared" si="133"/>
        <v>0</v>
      </c>
      <c r="M196" s="451">
        <f t="shared" si="134"/>
        <v>0</v>
      </c>
      <c r="N196" s="445">
        <f t="shared" si="123"/>
        <v>0</v>
      </c>
      <c r="O196" s="451"/>
      <c r="P196" s="451"/>
      <c r="Q196" s="451"/>
      <c r="R196" s="483"/>
      <c r="S196" s="483"/>
      <c r="T196" s="451"/>
      <c r="U196" s="483"/>
      <c r="V196" s="483"/>
      <c r="W196" s="451">
        <f t="shared" si="137"/>
        <v>559</v>
      </c>
      <c r="X196" s="445">
        <v>532</v>
      </c>
      <c r="Y196" s="445">
        <v>27</v>
      </c>
      <c r="Z196" s="451"/>
      <c r="AA196" s="451"/>
      <c r="AB196" s="15"/>
    </row>
    <row r="197" spans="1:31" ht="45" hidden="1">
      <c r="A197" s="8">
        <v>14</v>
      </c>
      <c r="B197" s="328" t="s">
        <v>390</v>
      </c>
      <c r="C197" s="8" t="s">
        <v>384</v>
      </c>
      <c r="D197" s="8"/>
      <c r="E197" s="8" t="s">
        <v>391</v>
      </c>
      <c r="F197" s="27" t="s">
        <v>55</v>
      </c>
      <c r="G197" s="445">
        <f t="shared" si="122"/>
        <v>1050</v>
      </c>
      <c r="H197" s="445">
        <v>1000</v>
      </c>
      <c r="I197" s="445">
        <v>50</v>
      </c>
      <c r="J197" s="451">
        <v>0</v>
      </c>
      <c r="K197" s="451">
        <f t="shared" si="132"/>
        <v>0</v>
      </c>
      <c r="L197" s="451">
        <f t="shared" si="133"/>
        <v>0</v>
      </c>
      <c r="M197" s="451">
        <f t="shared" si="134"/>
        <v>0</v>
      </c>
      <c r="N197" s="445">
        <f t="shared" si="123"/>
        <v>0</v>
      </c>
      <c r="O197" s="451"/>
      <c r="P197" s="451"/>
      <c r="Q197" s="451"/>
      <c r="R197" s="483"/>
      <c r="S197" s="483"/>
      <c r="T197" s="451"/>
      <c r="U197" s="483"/>
      <c r="V197" s="483"/>
      <c r="W197" s="451">
        <f t="shared" si="137"/>
        <v>1050</v>
      </c>
      <c r="X197" s="445">
        <v>1000</v>
      </c>
      <c r="Y197" s="445">
        <v>50</v>
      </c>
      <c r="Z197" s="451"/>
      <c r="AA197" s="451"/>
      <c r="AB197" s="15"/>
    </row>
    <row r="198" spans="1:31" ht="30" hidden="1">
      <c r="A198" s="8"/>
      <c r="B198" s="328" t="s">
        <v>1132</v>
      </c>
      <c r="C198" s="8" t="s">
        <v>369</v>
      </c>
      <c r="D198" s="8"/>
      <c r="E198" s="8"/>
      <c r="F198" s="27" t="s">
        <v>55</v>
      </c>
      <c r="G198" s="445"/>
      <c r="H198" s="445"/>
      <c r="I198" s="445"/>
      <c r="J198" s="451"/>
      <c r="K198" s="451"/>
      <c r="L198" s="451"/>
      <c r="M198" s="451"/>
      <c r="N198" s="445"/>
      <c r="O198" s="451"/>
      <c r="P198" s="451"/>
      <c r="Q198" s="451"/>
      <c r="R198" s="483"/>
      <c r="S198" s="483"/>
      <c r="T198" s="451"/>
      <c r="U198" s="483"/>
      <c r="V198" s="483"/>
      <c r="W198" s="451">
        <f>+X198+Y198</f>
        <v>605.28</v>
      </c>
      <c r="X198" s="483">
        <v>593.17999999999995</v>
      </c>
      <c r="Y198" s="483">
        <v>12.1</v>
      </c>
      <c r="Z198" s="451"/>
      <c r="AA198" s="451"/>
      <c r="AB198" s="15"/>
    </row>
    <row r="199" spans="1:31" ht="30" hidden="1">
      <c r="A199" s="8"/>
      <c r="B199" s="328" t="s">
        <v>1133</v>
      </c>
      <c r="C199" s="8" t="s">
        <v>361</v>
      </c>
      <c r="D199" s="8"/>
      <c r="E199" s="8"/>
      <c r="F199" s="27" t="s">
        <v>55</v>
      </c>
      <c r="G199" s="445"/>
      <c r="H199" s="445"/>
      <c r="I199" s="445"/>
      <c r="J199" s="451"/>
      <c r="K199" s="451"/>
      <c r="L199" s="451"/>
      <c r="M199" s="451"/>
      <c r="N199" s="445"/>
      <c r="O199" s="451"/>
      <c r="P199" s="451"/>
      <c r="Q199" s="451"/>
      <c r="R199" s="483"/>
      <c r="S199" s="483"/>
      <c r="T199" s="451"/>
      <c r="U199" s="483"/>
      <c r="V199" s="483"/>
      <c r="W199" s="451">
        <f>+X199+Y199</f>
        <v>470.55</v>
      </c>
      <c r="X199" s="483">
        <v>462.16</v>
      </c>
      <c r="Y199" s="483">
        <v>8.39</v>
      </c>
      <c r="Z199" s="451"/>
      <c r="AA199" s="451"/>
      <c r="AB199" s="15"/>
    </row>
    <row r="200" spans="1:31" s="14" customFormat="1" ht="23.25" customHeight="1">
      <c r="A200" s="4" t="s">
        <v>999</v>
      </c>
      <c r="B200" s="416" t="s">
        <v>393</v>
      </c>
      <c r="C200" s="418"/>
      <c r="D200" s="418"/>
      <c r="E200" s="417">
        <v>0</v>
      </c>
      <c r="F200" s="417"/>
      <c r="G200" s="446">
        <f>SUM(G201:G219)</f>
        <v>10113.950000000001</v>
      </c>
      <c r="H200" s="446">
        <f t="shared" ref="H200:AA200" si="138">SUM(H201:H219)</f>
        <v>9632.9500000000007</v>
      </c>
      <c r="I200" s="446">
        <f t="shared" si="138"/>
        <v>481</v>
      </c>
      <c r="J200" s="446">
        <f t="shared" si="138"/>
        <v>0</v>
      </c>
      <c r="K200" s="446">
        <f t="shared" si="138"/>
        <v>6854.0990599999996</v>
      </c>
      <c r="L200" s="446">
        <f t="shared" si="138"/>
        <v>6507.334960000001</v>
      </c>
      <c r="M200" s="446">
        <f t="shared" si="138"/>
        <v>346.76409999999993</v>
      </c>
      <c r="N200" s="446">
        <f t="shared" si="138"/>
        <v>2066.75</v>
      </c>
      <c r="O200" s="446">
        <f t="shared" si="138"/>
        <v>1983.75</v>
      </c>
      <c r="P200" s="446">
        <f t="shared" si="138"/>
        <v>83</v>
      </c>
      <c r="Q200" s="446">
        <f t="shared" si="138"/>
        <v>2304.34906</v>
      </c>
      <c r="R200" s="446">
        <f t="shared" si="138"/>
        <v>2177.0849600000001</v>
      </c>
      <c r="S200" s="446">
        <f t="shared" si="138"/>
        <v>127.2641</v>
      </c>
      <c r="T200" s="446">
        <f t="shared" si="138"/>
        <v>2483</v>
      </c>
      <c r="U200" s="446">
        <f t="shared" si="138"/>
        <v>2346.5</v>
      </c>
      <c r="V200" s="446">
        <f t="shared" si="138"/>
        <v>136.5</v>
      </c>
      <c r="W200" s="446">
        <f t="shared" si="138"/>
        <v>3259.8509399999998</v>
      </c>
      <c r="X200" s="446">
        <f t="shared" si="138"/>
        <v>3125.6150400000001</v>
      </c>
      <c r="Y200" s="446">
        <f t="shared" si="138"/>
        <v>134.23590000000002</v>
      </c>
      <c r="Z200" s="446"/>
      <c r="AA200" s="446">
        <f t="shared" si="138"/>
        <v>0</v>
      </c>
      <c r="AB200" s="16"/>
      <c r="AC200" s="368">
        <f>+'NĂM 2022'!K67+'NĂM 2023'!N78+'NĂM 2024'!J74+'NĂM 2025'!J67</f>
        <v>10113.950000000001</v>
      </c>
      <c r="AD200" s="368">
        <f>+'NĂM 2022'!L67+'NĂM 2023'!O78+'NĂM 2024'!K74+'NĂM 2025'!K67</f>
        <v>9632.9500000000007</v>
      </c>
      <c r="AE200" s="368">
        <f>+'NĂM 2022'!M67+'NĂM 2023'!P78+'NĂM 2024'!L74+'NĂM 2025'!L67</f>
        <v>481</v>
      </c>
    </row>
    <row r="201" spans="1:31" s="146" customFormat="1" ht="30">
      <c r="A201" s="141">
        <v>1</v>
      </c>
      <c r="B201" s="337" t="s">
        <v>394</v>
      </c>
      <c r="C201" s="157" t="s">
        <v>395</v>
      </c>
      <c r="D201" s="157"/>
      <c r="E201" s="141" t="s">
        <v>396</v>
      </c>
      <c r="F201" s="158" t="s">
        <v>52</v>
      </c>
      <c r="G201" s="447">
        <f t="shared" si="122"/>
        <v>1047</v>
      </c>
      <c r="H201" s="447">
        <v>997</v>
      </c>
      <c r="I201" s="447">
        <v>50</v>
      </c>
      <c r="J201" s="448">
        <v>0</v>
      </c>
      <c r="K201" s="448">
        <f>+L201+M201</f>
        <v>1047</v>
      </c>
      <c r="L201" s="448">
        <f>+O201+R201+U201</f>
        <v>997</v>
      </c>
      <c r="M201" s="448">
        <f>+P201+S201+V201</f>
        <v>50</v>
      </c>
      <c r="N201" s="445">
        <f t="shared" si="123"/>
        <v>1047</v>
      </c>
      <c r="O201" s="447">
        <v>997</v>
      </c>
      <c r="P201" s="447">
        <v>50</v>
      </c>
      <c r="Q201" s="447"/>
      <c r="R201" s="481"/>
      <c r="S201" s="481"/>
      <c r="T201" s="447"/>
      <c r="U201" s="481"/>
      <c r="V201" s="481"/>
      <c r="W201" s="447"/>
      <c r="X201" s="481"/>
      <c r="Y201" s="481"/>
      <c r="Z201" s="447"/>
      <c r="AA201" s="448"/>
      <c r="AB201" s="145"/>
      <c r="AC201" s="523">
        <f>+G200-K200</f>
        <v>3259.8509400000012</v>
      </c>
      <c r="AD201" s="523">
        <f>+H200-L200</f>
        <v>3125.6150399999997</v>
      </c>
      <c r="AE201" s="523">
        <f>+I200-M200</f>
        <v>134.23590000000007</v>
      </c>
    </row>
    <row r="202" spans="1:31" s="146" customFormat="1" ht="60">
      <c r="A202" s="141">
        <v>2</v>
      </c>
      <c r="B202" s="337" t="s">
        <v>397</v>
      </c>
      <c r="C202" s="157" t="s">
        <v>398</v>
      </c>
      <c r="D202" s="157"/>
      <c r="E202" s="150" t="s">
        <v>399</v>
      </c>
      <c r="F202" s="158" t="s">
        <v>52</v>
      </c>
      <c r="G202" s="447">
        <f t="shared" si="122"/>
        <v>701</v>
      </c>
      <c r="H202" s="447">
        <v>668</v>
      </c>
      <c r="I202" s="447">
        <v>33</v>
      </c>
      <c r="J202" s="448">
        <v>0</v>
      </c>
      <c r="K202" s="448">
        <f t="shared" ref="K202:K219" si="139">+L202+M202</f>
        <v>701</v>
      </c>
      <c r="L202" s="448">
        <f t="shared" ref="L202:L219" si="140">+O202+R202+U202</f>
        <v>668</v>
      </c>
      <c r="M202" s="448">
        <f t="shared" ref="M202:M219" si="141">+P202+S202+V202</f>
        <v>33</v>
      </c>
      <c r="N202" s="445">
        <f t="shared" si="123"/>
        <v>701</v>
      </c>
      <c r="O202" s="447">
        <v>668</v>
      </c>
      <c r="P202" s="447">
        <v>33</v>
      </c>
      <c r="Q202" s="447"/>
      <c r="R202" s="481"/>
      <c r="S202" s="481"/>
      <c r="T202" s="447"/>
      <c r="U202" s="481"/>
      <c r="V202" s="481"/>
      <c r="W202" s="447"/>
      <c r="X202" s="481"/>
      <c r="Y202" s="481"/>
      <c r="Z202" s="447"/>
      <c r="AA202" s="448"/>
      <c r="AB202" s="145"/>
      <c r="AC202" s="525">
        <f>+AC201-W200</f>
        <v>0</v>
      </c>
      <c r="AD202" s="525">
        <f t="shared" ref="AD202:AE202" si="142">+AD201-X200</f>
        <v>0</v>
      </c>
      <c r="AE202" s="524">
        <f t="shared" si="142"/>
        <v>0</v>
      </c>
    </row>
    <row r="203" spans="1:31" s="146" customFormat="1" ht="30">
      <c r="A203" s="141">
        <v>3</v>
      </c>
      <c r="B203" s="337" t="s">
        <v>400</v>
      </c>
      <c r="C203" s="157" t="s">
        <v>401</v>
      </c>
      <c r="D203" s="157"/>
      <c r="E203" s="141" t="s">
        <v>402</v>
      </c>
      <c r="F203" s="158" t="s">
        <v>52</v>
      </c>
      <c r="G203" s="447">
        <f t="shared" si="122"/>
        <v>399</v>
      </c>
      <c r="H203" s="447">
        <v>380</v>
      </c>
      <c r="I203" s="447">
        <v>19</v>
      </c>
      <c r="J203" s="448">
        <v>0</v>
      </c>
      <c r="K203" s="448">
        <f t="shared" si="139"/>
        <v>393.93889999999999</v>
      </c>
      <c r="L203" s="448">
        <f t="shared" si="140"/>
        <v>380</v>
      </c>
      <c r="M203" s="448">
        <f t="shared" si="141"/>
        <v>13.9389</v>
      </c>
      <c r="N203" s="445">
        <f>+O203+P203</f>
        <v>318.75</v>
      </c>
      <c r="O203" s="447">
        <v>318.75</v>
      </c>
      <c r="P203" s="447">
        <v>0</v>
      </c>
      <c r="Q203" s="447">
        <f>+R203+S203</f>
        <v>75.188900000000004</v>
      </c>
      <c r="R203" s="481">
        <v>61.25</v>
      </c>
      <c r="S203" s="481">
        <f>19-5.0611</f>
        <v>13.9389</v>
      </c>
      <c r="T203" s="447"/>
      <c r="U203" s="481"/>
      <c r="V203" s="481"/>
      <c r="W203" s="447"/>
      <c r="X203" s="481"/>
      <c r="Y203" s="481"/>
      <c r="Z203" s="447"/>
      <c r="AA203" s="448"/>
      <c r="AB203" s="145"/>
      <c r="AC203" s="369"/>
      <c r="AD203" s="369"/>
      <c r="AE203" s="369"/>
    </row>
    <row r="204" spans="1:31" s="146" customFormat="1" ht="60">
      <c r="A204" s="141">
        <v>4</v>
      </c>
      <c r="B204" s="337" t="s">
        <v>403</v>
      </c>
      <c r="C204" s="157" t="s">
        <v>398</v>
      </c>
      <c r="D204" s="157"/>
      <c r="E204" s="150" t="s">
        <v>404</v>
      </c>
      <c r="F204" s="158" t="s">
        <v>53</v>
      </c>
      <c r="G204" s="447">
        <f t="shared" si="122"/>
        <v>448</v>
      </c>
      <c r="H204" s="447">
        <v>428</v>
      </c>
      <c r="I204" s="447">
        <v>20</v>
      </c>
      <c r="J204" s="448">
        <v>0</v>
      </c>
      <c r="K204" s="448">
        <f t="shared" si="139"/>
        <v>442.49529999999999</v>
      </c>
      <c r="L204" s="448">
        <f t="shared" si="140"/>
        <v>422.49529999999999</v>
      </c>
      <c r="M204" s="448">
        <f t="shared" si="141"/>
        <v>20</v>
      </c>
      <c r="N204" s="445">
        <f t="shared" si="123"/>
        <v>0</v>
      </c>
      <c r="O204" s="448"/>
      <c r="P204" s="448"/>
      <c r="Q204" s="448">
        <f>+R204+S204</f>
        <v>442.49529999999999</v>
      </c>
      <c r="R204" s="483">
        <f>428-5.5047</f>
        <v>422.49529999999999</v>
      </c>
      <c r="S204" s="483">
        <v>20</v>
      </c>
      <c r="T204" s="448"/>
      <c r="U204" s="483"/>
      <c r="V204" s="483"/>
      <c r="W204" s="448"/>
      <c r="X204" s="483"/>
      <c r="Y204" s="483"/>
      <c r="Z204" s="448"/>
      <c r="AA204" s="448"/>
      <c r="AB204" s="145"/>
      <c r="AC204" s="369"/>
      <c r="AD204" s="369"/>
      <c r="AE204" s="369"/>
    </row>
    <row r="205" spans="1:31" s="146" customFormat="1" ht="60">
      <c r="A205" s="141">
        <v>5</v>
      </c>
      <c r="B205" s="337" t="s">
        <v>405</v>
      </c>
      <c r="C205" s="157" t="s">
        <v>406</v>
      </c>
      <c r="D205" s="157"/>
      <c r="E205" s="150" t="s">
        <v>407</v>
      </c>
      <c r="F205" s="158" t="s">
        <v>53</v>
      </c>
      <c r="G205" s="447">
        <f t="shared" si="122"/>
        <v>340</v>
      </c>
      <c r="H205" s="447">
        <v>325</v>
      </c>
      <c r="I205" s="447">
        <v>15</v>
      </c>
      <c r="J205" s="448">
        <v>0</v>
      </c>
      <c r="K205" s="448">
        <f t="shared" si="139"/>
        <v>340</v>
      </c>
      <c r="L205" s="448">
        <f t="shared" si="140"/>
        <v>325</v>
      </c>
      <c r="M205" s="448">
        <f t="shared" si="141"/>
        <v>15</v>
      </c>
      <c r="N205" s="445">
        <f t="shared" si="123"/>
        <v>0</v>
      </c>
      <c r="O205" s="448"/>
      <c r="P205" s="448"/>
      <c r="Q205" s="448">
        <f t="shared" ref="Q205:Q209" si="143">+R205+S205</f>
        <v>340</v>
      </c>
      <c r="R205" s="483">
        <v>325</v>
      </c>
      <c r="S205" s="483">
        <v>15</v>
      </c>
      <c r="T205" s="448"/>
      <c r="U205" s="483"/>
      <c r="V205" s="483"/>
      <c r="W205" s="448"/>
      <c r="X205" s="483"/>
      <c r="Y205" s="483"/>
      <c r="Z205" s="448"/>
      <c r="AA205" s="448"/>
      <c r="AB205" s="145"/>
      <c r="AC205" s="369"/>
      <c r="AD205" s="369"/>
      <c r="AE205" s="369"/>
    </row>
    <row r="206" spans="1:31" s="146" customFormat="1" ht="30">
      <c r="A206" s="141">
        <v>6</v>
      </c>
      <c r="B206" s="337" t="s">
        <v>408</v>
      </c>
      <c r="C206" s="157" t="s">
        <v>409</v>
      </c>
      <c r="D206" s="157"/>
      <c r="E206" s="141" t="s">
        <v>806</v>
      </c>
      <c r="F206" s="158" t="s">
        <v>53</v>
      </c>
      <c r="G206" s="447">
        <f t="shared" si="122"/>
        <v>499</v>
      </c>
      <c r="H206" s="447">
        <v>475</v>
      </c>
      <c r="I206" s="447">
        <v>24</v>
      </c>
      <c r="J206" s="448">
        <v>0</v>
      </c>
      <c r="K206" s="448">
        <f t="shared" si="139"/>
        <v>498.5813</v>
      </c>
      <c r="L206" s="448">
        <f t="shared" si="140"/>
        <v>462</v>
      </c>
      <c r="M206" s="448">
        <f t="shared" si="141"/>
        <v>36.581299999999999</v>
      </c>
      <c r="N206" s="445">
        <f t="shared" si="123"/>
        <v>0</v>
      </c>
      <c r="O206" s="448"/>
      <c r="P206" s="448"/>
      <c r="Q206" s="448">
        <f t="shared" si="143"/>
        <v>180.38130000000001</v>
      </c>
      <c r="R206" s="483">
        <v>161.30000000000001</v>
      </c>
      <c r="S206" s="483">
        <f>19.51-0.4287</f>
        <v>19.081300000000002</v>
      </c>
      <c r="T206" s="448">
        <f>+U206+V206</f>
        <v>318.2</v>
      </c>
      <c r="U206" s="483">
        <v>300.7</v>
      </c>
      <c r="V206" s="483">
        <v>17.5</v>
      </c>
      <c r="W206" s="448"/>
      <c r="X206" s="483"/>
      <c r="Y206" s="483"/>
      <c r="Z206" s="448"/>
      <c r="AA206" s="448"/>
      <c r="AB206" s="145"/>
      <c r="AC206" s="369"/>
      <c r="AD206" s="369"/>
      <c r="AE206" s="369"/>
    </row>
    <row r="207" spans="1:31" s="146" customFormat="1" ht="60">
      <c r="A207" s="141">
        <v>7</v>
      </c>
      <c r="B207" s="337" t="s">
        <v>411</v>
      </c>
      <c r="C207" s="157" t="s">
        <v>412</v>
      </c>
      <c r="D207" s="157"/>
      <c r="E207" s="150" t="s">
        <v>413</v>
      </c>
      <c r="F207" s="158" t="s">
        <v>53</v>
      </c>
      <c r="G207" s="447">
        <f t="shared" si="122"/>
        <v>499</v>
      </c>
      <c r="H207" s="447">
        <v>475</v>
      </c>
      <c r="I207" s="447">
        <v>24</v>
      </c>
      <c r="J207" s="448">
        <v>0</v>
      </c>
      <c r="K207" s="448">
        <f t="shared" si="139"/>
        <v>499</v>
      </c>
      <c r="L207" s="448">
        <f t="shared" si="140"/>
        <v>475</v>
      </c>
      <c r="M207" s="448">
        <f t="shared" si="141"/>
        <v>24</v>
      </c>
      <c r="N207" s="445">
        <f t="shared" si="123"/>
        <v>0</v>
      </c>
      <c r="O207" s="448"/>
      <c r="P207" s="448"/>
      <c r="Q207" s="448">
        <f t="shared" si="143"/>
        <v>499</v>
      </c>
      <c r="R207" s="483">
        <v>475</v>
      </c>
      <c r="S207" s="483">
        <v>24</v>
      </c>
      <c r="T207" s="448"/>
      <c r="U207" s="483"/>
      <c r="V207" s="483"/>
      <c r="W207" s="448"/>
      <c r="X207" s="483"/>
      <c r="Y207" s="483"/>
      <c r="Z207" s="448"/>
      <c r="AA207" s="448"/>
      <c r="AB207" s="145"/>
      <c r="AC207" s="369"/>
      <c r="AD207" s="369"/>
      <c r="AE207" s="369"/>
    </row>
    <row r="208" spans="1:31" s="146" customFormat="1" ht="75">
      <c r="A208" s="141">
        <v>8</v>
      </c>
      <c r="B208" s="337" t="s">
        <v>414</v>
      </c>
      <c r="C208" s="157" t="s">
        <v>415</v>
      </c>
      <c r="D208" s="157"/>
      <c r="E208" s="141" t="s">
        <v>208</v>
      </c>
      <c r="F208" s="158" t="s">
        <v>53</v>
      </c>
      <c r="G208" s="447">
        <f t="shared" si="122"/>
        <v>299</v>
      </c>
      <c r="H208" s="447">
        <v>285</v>
      </c>
      <c r="I208" s="447">
        <v>14</v>
      </c>
      <c r="J208" s="448">
        <v>0</v>
      </c>
      <c r="K208" s="448">
        <f t="shared" si="139"/>
        <v>299</v>
      </c>
      <c r="L208" s="448">
        <f t="shared" si="140"/>
        <v>285</v>
      </c>
      <c r="M208" s="448">
        <f t="shared" si="141"/>
        <v>14</v>
      </c>
      <c r="N208" s="445">
        <f t="shared" si="123"/>
        <v>0</v>
      </c>
      <c r="O208" s="448"/>
      <c r="P208" s="448"/>
      <c r="Q208" s="448">
        <f t="shared" si="143"/>
        <v>299</v>
      </c>
      <c r="R208" s="483">
        <v>285</v>
      </c>
      <c r="S208" s="483">
        <v>14</v>
      </c>
      <c r="T208" s="448"/>
      <c r="U208" s="483"/>
      <c r="V208" s="483"/>
      <c r="W208" s="448"/>
      <c r="X208" s="483"/>
      <c r="Y208" s="483"/>
      <c r="Z208" s="448"/>
      <c r="AA208" s="448"/>
      <c r="AB208" s="145"/>
      <c r="AC208" s="369"/>
      <c r="AD208" s="369"/>
      <c r="AE208" s="369"/>
    </row>
    <row r="209" spans="1:31" s="146" customFormat="1" ht="60">
      <c r="A209" s="141">
        <v>9</v>
      </c>
      <c r="B209" s="337" t="s">
        <v>416</v>
      </c>
      <c r="C209" s="157" t="s">
        <v>401</v>
      </c>
      <c r="D209" s="157"/>
      <c r="E209" s="150" t="s">
        <v>417</v>
      </c>
      <c r="F209" s="158" t="s">
        <v>53</v>
      </c>
      <c r="G209" s="447">
        <f t="shared" si="122"/>
        <v>683</v>
      </c>
      <c r="H209" s="447">
        <v>650</v>
      </c>
      <c r="I209" s="447">
        <v>33</v>
      </c>
      <c r="J209" s="448">
        <v>0</v>
      </c>
      <c r="K209" s="448">
        <f t="shared" si="139"/>
        <v>683.00356000000011</v>
      </c>
      <c r="L209" s="448">
        <f t="shared" si="140"/>
        <v>649.99966000000006</v>
      </c>
      <c r="M209" s="448">
        <f t="shared" si="141"/>
        <v>33.003900000000002</v>
      </c>
      <c r="N209" s="445">
        <f t="shared" si="123"/>
        <v>0</v>
      </c>
      <c r="O209" s="448"/>
      <c r="P209" s="448"/>
      <c r="Q209" s="448">
        <f t="shared" si="143"/>
        <v>468.28356000000002</v>
      </c>
      <c r="R209" s="483">
        <f>338.75+108.28966</f>
        <v>447.03966000000003</v>
      </c>
      <c r="S209" s="483">
        <f>14+7.2439</f>
        <v>21.2439</v>
      </c>
      <c r="T209" s="448">
        <f>+U209+V209</f>
        <v>214.72</v>
      </c>
      <c r="U209" s="483">
        <v>202.96</v>
      </c>
      <c r="V209" s="483">
        <v>11.76</v>
      </c>
      <c r="W209" s="448"/>
      <c r="X209" s="483"/>
      <c r="Y209" s="483"/>
      <c r="Z209" s="448"/>
      <c r="AA209" s="448"/>
      <c r="AB209" s="145"/>
      <c r="AC209" s="369"/>
      <c r="AD209" s="369"/>
      <c r="AE209" s="369"/>
    </row>
    <row r="210" spans="1:31" s="146" customFormat="1" ht="30">
      <c r="A210" s="141">
        <v>10</v>
      </c>
      <c r="B210" s="337" t="s">
        <v>418</v>
      </c>
      <c r="C210" s="157" t="s">
        <v>419</v>
      </c>
      <c r="D210" s="157"/>
      <c r="E210" s="141" t="s">
        <v>410</v>
      </c>
      <c r="F210" s="158" t="s">
        <v>54</v>
      </c>
      <c r="G210" s="447">
        <f t="shared" si="122"/>
        <v>499</v>
      </c>
      <c r="H210" s="447">
        <v>475</v>
      </c>
      <c r="I210" s="447">
        <v>24</v>
      </c>
      <c r="J210" s="448">
        <v>0</v>
      </c>
      <c r="K210" s="448">
        <f t="shared" si="139"/>
        <v>499</v>
      </c>
      <c r="L210" s="448">
        <f t="shared" si="140"/>
        <v>471.6</v>
      </c>
      <c r="M210" s="448">
        <f t="shared" si="141"/>
        <v>27.4</v>
      </c>
      <c r="N210" s="445">
        <f t="shared" si="123"/>
        <v>0</v>
      </c>
      <c r="O210" s="448"/>
      <c r="P210" s="448"/>
      <c r="Q210" s="448"/>
      <c r="R210" s="483"/>
      <c r="S210" s="483"/>
      <c r="T210" s="448">
        <f>+U210+V210</f>
        <v>499</v>
      </c>
      <c r="U210" s="483">
        <v>471.6</v>
      </c>
      <c r="V210" s="483">
        <v>27.4</v>
      </c>
      <c r="W210" s="448"/>
      <c r="X210" s="483"/>
      <c r="Y210" s="483"/>
      <c r="Z210" s="448"/>
      <c r="AA210" s="448"/>
      <c r="AB210" s="145"/>
      <c r="AC210" s="369"/>
      <c r="AD210" s="369"/>
      <c r="AE210" s="369"/>
    </row>
    <row r="211" spans="1:31" s="146" customFormat="1" ht="60">
      <c r="A211" s="141">
        <v>11</v>
      </c>
      <c r="B211" s="337" t="s">
        <v>420</v>
      </c>
      <c r="C211" s="157" t="s">
        <v>395</v>
      </c>
      <c r="D211" s="157"/>
      <c r="E211" s="150" t="s">
        <v>421</v>
      </c>
      <c r="F211" s="158" t="s">
        <v>54</v>
      </c>
      <c r="G211" s="447">
        <f t="shared" si="122"/>
        <v>1998</v>
      </c>
      <c r="H211" s="447">
        <v>1903</v>
      </c>
      <c r="I211" s="447">
        <v>95</v>
      </c>
      <c r="J211" s="448">
        <v>0</v>
      </c>
      <c r="K211" s="448">
        <f t="shared" si="139"/>
        <v>0</v>
      </c>
      <c r="L211" s="448">
        <f t="shared" si="140"/>
        <v>0</v>
      </c>
      <c r="M211" s="448">
        <f t="shared" si="141"/>
        <v>0</v>
      </c>
      <c r="N211" s="445">
        <f t="shared" si="123"/>
        <v>0</v>
      </c>
      <c r="O211" s="448"/>
      <c r="P211" s="448"/>
      <c r="Q211" s="448"/>
      <c r="R211" s="483"/>
      <c r="S211" s="483"/>
      <c r="T211" s="448"/>
      <c r="U211" s="483"/>
      <c r="V211" s="483"/>
      <c r="W211" s="447">
        <f t="shared" ref="W211:W213" si="144">X211+Y211</f>
        <v>2008.9809399999999</v>
      </c>
      <c r="X211" s="447">
        <v>1934.30504</v>
      </c>
      <c r="Y211" s="447">
        <v>74.675899999999999</v>
      </c>
      <c r="Z211" s="448"/>
      <c r="AA211" s="448"/>
      <c r="AB211" s="145"/>
      <c r="AC211" s="369"/>
      <c r="AD211" s="524"/>
      <c r="AE211" s="369"/>
    </row>
    <row r="212" spans="1:31" s="146" customFormat="1" ht="30">
      <c r="A212" s="141">
        <v>12</v>
      </c>
      <c r="B212" s="337" t="s">
        <v>422</v>
      </c>
      <c r="C212" s="157" t="s">
        <v>412</v>
      </c>
      <c r="D212" s="157"/>
      <c r="E212" s="141"/>
      <c r="F212" s="158" t="s">
        <v>54</v>
      </c>
      <c r="G212" s="447">
        <f t="shared" si="122"/>
        <v>250</v>
      </c>
      <c r="H212" s="447">
        <v>238</v>
      </c>
      <c r="I212" s="447">
        <v>12</v>
      </c>
      <c r="J212" s="448">
        <v>0</v>
      </c>
      <c r="K212" s="448">
        <f t="shared" si="139"/>
        <v>0</v>
      </c>
      <c r="L212" s="448">
        <f t="shared" si="140"/>
        <v>0</v>
      </c>
      <c r="M212" s="448">
        <f t="shared" si="141"/>
        <v>0</v>
      </c>
      <c r="N212" s="445">
        <f t="shared" si="123"/>
        <v>0</v>
      </c>
      <c r="O212" s="448"/>
      <c r="P212" s="448"/>
      <c r="Q212" s="448"/>
      <c r="R212" s="483"/>
      <c r="S212" s="483"/>
      <c r="T212" s="448"/>
      <c r="U212" s="483"/>
      <c r="V212" s="483"/>
      <c r="W212" s="447">
        <f t="shared" si="144"/>
        <v>250</v>
      </c>
      <c r="X212" s="447">
        <v>238</v>
      </c>
      <c r="Y212" s="447">
        <v>12</v>
      </c>
      <c r="Z212" s="448"/>
      <c r="AA212" s="448"/>
      <c r="AB212" s="145"/>
      <c r="AC212" s="369"/>
      <c r="AD212" s="369"/>
      <c r="AE212" s="369"/>
    </row>
    <row r="213" spans="1:31" s="146" customFormat="1" ht="75">
      <c r="A213" s="141">
        <v>13</v>
      </c>
      <c r="B213" s="337" t="s">
        <v>423</v>
      </c>
      <c r="C213" s="157" t="s">
        <v>406</v>
      </c>
      <c r="D213" s="157"/>
      <c r="E213" s="141" t="s">
        <v>94</v>
      </c>
      <c r="F213" s="158" t="s">
        <v>55</v>
      </c>
      <c r="G213" s="447">
        <f t="shared" si="122"/>
        <v>251</v>
      </c>
      <c r="H213" s="447">
        <v>239</v>
      </c>
      <c r="I213" s="447">
        <v>12</v>
      </c>
      <c r="J213" s="448">
        <v>0</v>
      </c>
      <c r="K213" s="448">
        <f t="shared" si="139"/>
        <v>0</v>
      </c>
      <c r="L213" s="448">
        <f t="shared" si="140"/>
        <v>0</v>
      </c>
      <c r="M213" s="448">
        <f t="shared" si="141"/>
        <v>0</v>
      </c>
      <c r="N213" s="445">
        <f t="shared" si="123"/>
        <v>0</v>
      </c>
      <c r="O213" s="448"/>
      <c r="P213" s="448"/>
      <c r="Q213" s="448"/>
      <c r="R213" s="483"/>
      <c r="S213" s="483"/>
      <c r="T213" s="448"/>
      <c r="U213" s="483"/>
      <c r="V213" s="483"/>
      <c r="W213" s="447">
        <f t="shared" si="144"/>
        <v>251</v>
      </c>
      <c r="X213" s="447">
        <v>239</v>
      </c>
      <c r="Y213" s="447">
        <v>12</v>
      </c>
      <c r="Z213" s="448"/>
      <c r="AA213" s="448"/>
      <c r="AB213" s="145"/>
      <c r="AC213" s="369"/>
      <c r="AD213" s="369"/>
      <c r="AE213" s="369"/>
    </row>
    <row r="214" spans="1:31" s="146" customFormat="1" ht="60">
      <c r="A214" s="141">
        <v>14</v>
      </c>
      <c r="B214" s="337" t="s">
        <v>424</v>
      </c>
      <c r="C214" s="157" t="s">
        <v>419</v>
      </c>
      <c r="D214" s="157"/>
      <c r="E214" s="150" t="s">
        <v>413</v>
      </c>
      <c r="F214" s="158" t="s">
        <v>55</v>
      </c>
      <c r="G214" s="447">
        <f t="shared" si="122"/>
        <v>299</v>
      </c>
      <c r="H214" s="447">
        <v>285</v>
      </c>
      <c r="I214" s="447">
        <v>14</v>
      </c>
      <c r="J214" s="448">
        <v>0</v>
      </c>
      <c r="K214" s="448">
        <f t="shared" si="139"/>
        <v>299</v>
      </c>
      <c r="L214" s="448">
        <f t="shared" si="140"/>
        <v>282.60000000000002</v>
      </c>
      <c r="M214" s="448">
        <f t="shared" si="141"/>
        <v>16.399999999999999</v>
      </c>
      <c r="N214" s="445">
        <f t="shared" si="123"/>
        <v>0</v>
      </c>
      <c r="O214" s="448"/>
      <c r="P214" s="448"/>
      <c r="Q214" s="448"/>
      <c r="R214" s="483"/>
      <c r="S214" s="483"/>
      <c r="T214" s="448">
        <f>+U214+V214</f>
        <v>299</v>
      </c>
      <c r="U214" s="483">
        <v>282.60000000000002</v>
      </c>
      <c r="V214" s="483">
        <v>16.399999999999999</v>
      </c>
      <c r="W214" s="448"/>
      <c r="X214" s="483"/>
      <c r="Y214" s="483"/>
      <c r="Z214" s="448"/>
      <c r="AA214" s="448"/>
      <c r="AB214" s="145"/>
      <c r="AC214" s="369"/>
      <c r="AD214" s="369"/>
      <c r="AE214" s="369"/>
    </row>
    <row r="215" spans="1:31" s="146" customFormat="1" ht="75">
      <c r="A215" s="141">
        <v>15</v>
      </c>
      <c r="B215" s="337" t="s">
        <v>425</v>
      </c>
      <c r="C215" s="157" t="s">
        <v>426</v>
      </c>
      <c r="D215" s="157"/>
      <c r="E215" s="141" t="s">
        <v>427</v>
      </c>
      <c r="F215" s="158" t="s">
        <v>55</v>
      </c>
      <c r="G215" s="447">
        <f t="shared" si="122"/>
        <v>200</v>
      </c>
      <c r="H215" s="447">
        <v>190</v>
      </c>
      <c r="I215" s="447">
        <v>10</v>
      </c>
      <c r="J215" s="448">
        <v>0</v>
      </c>
      <c r="K215" s="448">
        <f t="shared" si="139"/>
        <v>152.07999999999998</v>
      </c>
      <c r="L215" s="448">
        <f t="shared" si="140"/>
        <v>143.63999999999999</v>
      </c>
      <c r="M215" s="448">
        <f t="shared" si="141"/>
        <v>8.44</v>
      </c>
      <c r="N215" s="445">
        <f t="shared" si="123"/>
        <v>0</v>
      </c>
      <c r="O215" s="448"/>
      <c r="P215" s="448"/>
      <c r="Q215" s="448"/>
      <c r="R215" s="483"/>
      <c r="S215" s="483"/>
      <c r="T215" s="448">
        <f>+U215+V215</f>
        <v>152.07999999999998</v>
      </c>
      <c r="U215" s="483">
        <v>143.63999999999999</v>
      </c>
      <c r="V215" s="483">
        <v>8.44</v>
      </c>
      <c r="W215" s="448">
        <f>+X215+Y215</f>
        <v>47.92</v>
      </c>
      <c r="X215" s="483">
        <v>46.36</v>
      </c>
      <c r="Y215" s="483">
        <v>1.56</v>
      </c>
      <c r="Z215" s="448"/>
      <c r="AA215" s="448"/>
      <c r="AB215" s="145"/>
      <c r="AC215" s="369"/>
      <c r="AD215" s="369"/>
      <c r="AE215" s="369"/>
    </row>
    <row r="216" spans="1:31" s="146" customFormat="1" ht="75">
      <c r="A216" s="141">
        <v>16</v>
      </c>
      <c r="B216" s="338" t="s">
        <v>805</v>
      </c>
      <c r="C216" s="157" t="s">
        <v>428</v>
      </c>
      <c r="D216" s="157"/>
      <c r="E216" s="141" t="s">
        <v>128</v>
      </c>
      <c r="F216" s="158" t="s">
        <v>55</v>
      </c>
      <c r="G216" s="447">
        <f t="shared" si="122"/>
        <v>1000</v>
      </c>
      <c r="H216" s="447">
        <v>952</v>
      </c>
      <c r="I216" s="447">
        <v>48</v>
      </c>
      <c r="J216" s="448">
        <v>0</v>
      </c>
      <c r="K216" s="448">
        <f t="shared" si="139"/>
        <v>1000</v>
      </c>
      <c r="L216" s="448">
        <f t="shared" si="140"/>
        <v>945</v>
      </c>
      <c r="M216" s="448">
        <f t="shared" si="141"/>
        <v>55</v>
      </c>
      <c r="N216" s="445">
        <f t="shared" si="123"/>
        <v>0</v>
      </c>
      <c r="O216" s="448"/>
      <c r="P216" s="448"/>
      <c r="Q216" s="448"/>
      <c r="R216" s="483"/>
      <c r="S216" s="483"/>
      <c r="T216" s="448">
        <f>+U216+V216</f>
        <v>1000</v>
      </c>
      <c r="U216" s="483">
        <v>945</v>
      </c>
      <c r="V216" s="483">
        <v>55</v>
      </c>
      <c r="W216" s="448"/>
      <c r="X216" s="483"/>
      <c r="Y216" s="483"/>
      <c r="Z216" s="448"/>
      <c r="AA216" s="448"/>
      <c r="AB216" s="145"/>
      <c r="AC216" s="369"/>
      <c r="AD216" s="369"/>
      <c r="AE216" s="369"/>
    </row>
    <row r="217" spans="1:31" s="146" customFormat="1" ht="45">
      <c r="A217" s="141">
        <v>17</v>
      </c>
      <c r="B217" s="337" t="s">
        <v>429</v>
      </c>
      <c r="C217" s="157" t="s">
        <v>395</v>
      </c>
      <c r="D217" s="157"/>
      <c r="E217" s="141" t="s">
        <v>430</v>
      </c>
      <c r="F217" s="158" t="s">
        <v>55</v>
      </c>
      <c r="G217" s="447">
        <f t="shared" si="122"/>
        <v>200</v>
      </c>
      <c r="H217" s="447">
        <v>190</v>
      </c>
      <c r="I217" s="447">
        <v>10</v>
      </c>
      <c r="J217" s="448">
        <v>0</v>
      </c>
      <c r="K217" s="448">
        <f t="shared" si="139"/>
        <v>0</v>
      </c>
      <c r="L217" s="448">
        <f t="shared" si="140"/>
        <v>0</v>
      </c>
      <c r="M217" s="448">
        <f t="shared" si="141"/>
        <v>0</v>
      </c>
      <c r="N217" s="445">
        <f t="shared" si="123"/>
        <v>0</v>
      </c>
      <c r="O217" s="448"/>
      <c r="P217" s="448"/>
      <c r="Q217" s="448"/>
      <c r="R217" s="483"/>
      <c r="S217" s="483"/>
      <c r="T217" s="448"/>
      <c r="U217" s="483"/>
      <c r="V217" s="483"/>
      <c r="W217" s="447">
        <f t="shared" ref="W217:W219" si="145">X217+Y217</f>
        <v>200</v>
      </c>
      <c r="X217" s="447">
        <v>190</v>
      </c>
      <c r="Y217" s="447">
        <v>10</v>
      </c>
      <c r="Z217" s="448"/>
      <c r="AA217" s="448"/>
      <c r="AB217" s="145"/>
      <c r="AC217" s="369"/>
      <c r="AD217" s="369"/>
      <c r="AE217" s="369"/>
    </row>
    <row r="218" spans="1:31" s="146" customFormat="1" ht="75">
      <c r="A218" s="141">
        <v>18</v>
      </c>
      <c r="B218" s="337" t="s">
        <v>431</v>
      </c>
      <c r="C218" s="157" t="s">
        <v>426</v>
      </c>
      <c r="D218" s="157"/>
      <c r="E218" s="141" t="s">
        <v>94</v>
      </c>
      <c r="F218" s="158" t="s">
        <v>55</v>
      </c>
      <c r="G218" s="447">
        <f t="shared" si="122"/>
        <v>251</v>
      </c>
      <c r="H218" s="447">
        <v>239</v>
      </c>
      <c r="I218" s="447">
        <v>12</v>
      </c>
      <c r="J218" s="448">
        <v>0</v>
      </c>
      <c r="K218" s="448">
        <f t="shared" si="139"/>
        <v>0</v>
      </c>
      <c r="L218" s="448">
        <f t="shared" si="140"/>
        <v>0</v>
      </c>
      <c r="M218" s="448">
        <f t="shared" si="141"/>
        <v>0</v>
      </c>
      <c r="N218" s="445">
        <f t="shared" si="123"/>
        <v>0</v>
      </c>
      <c r="O218" s="448"/>
      <c r="P218" s="448"/>
      <c r="Q218" s="448"/>
      <c r="R218" s="483"/>
      <c r="S218" s="483"/>
      <c r="T218" s="448"/>
      <c r="U218" s="483"/>
      <c r="V218" s="483"/>
      <c r="W218" s="447">
        <f t="shared" si="145"/>
        <v>251</v>
      </c>
      <c r="X218" s="447">
        <v>239</v>
      </c>
      <c r="Y218" s="447">
        <v>12</v>
      </c>
      <c r="Z218" s="448"/>
      <c r="AA218" s="448"/>
      <c r="AB218" s="145"/>
      <c r="AC218" s="369"/>
      <c r="AD218" s="369"/>
      <c r="AE218" s="369"/>
    </row>
    <row r="219" spans="1:31" s="146" customFormat="1" ht="75">
      <c r="A219" s="141">
        <v>19</v>
      </c>
      <c r="B219" s="337" t="s">
        <v>432</v>
      </c>
      <c r="C219" s="157" t="s">
        <v>428</v>
      </c>
      <c r="D219" s="157"/>
      <c r="E219" s="141" t="s">
        <v>94</v>
      </c>
      <c r="F219" s="158" t="s">
        <v>55</v>
      </c>
      <c r="G219" s="447">
        <f t="shared" si="122"/>
        <v>250.95</v>
      </c>
      <c r="H219" s="447">
        <v>238.95</v>
      </c>
      <c r="I219" s="447">
        <v>12</v>
      </c>
      <c r="J219" s="448">
        <v>0</v>
      </c>
      <c r="K219" s="448">
        <f t="shared" si="139"/>
        <v>0</v>
      </c>
      <c r="L219" s="448">
        <f t="shared" si="140"/>
        <v>0</v>
      </c>
      <c r="M219" s="448">
        <f t="shared" si="141"/>
        <v>0</v>
      </c>
      <c r="N219" s="445">
        <f t="shared" si="123"/>
        <v>0</v>
      </c>
      <c r="O219" s="448"/>
      <c r="P219" s="448"/>
      <c r="Q219" s="448"/>
      <c r="R219" s="483"/>
      <c r="S219" s="483"/>
      <c r="T219" s="448"/>
      <c r="U219" s="483"/>
      <c r="V219" s="483"/>
      <c r="W219" s="447">
        <f t="shared" si="145"/>
        <v>250.95</v>
      </c>
      <c r="X219" s="447">
        <v>238.95</v>
      </c>
      <c r="Y219" s="447">
        <v>12</v>
      </c>
      <c r="Z219" s="448"/>
      <c r="AA219" s="448"/>
      <c r="AB219" s="145"/>
      <c r="AC219" s="369"/>
      <c r="AD219" s="369"/>
      <c r="AE219" s="369"/>
    </row>
    <row r="220" spans="1:31" s="14" customFormat="1" ht="23.25" customHeight="1">
      <c r="A220" s="4" t="s">
        <v>1000</v>
      </c>
      <c r="B220" s="509" t="s">
        <v>434</v>
      </c>
      <c r="C220" s="418"/>
      <c r="D220" s="418"/>
      <c r="E220" s="417">
        <v>0</v>
      </c>
      <c r="F220" s="417"/>
      <c r="G220" s="446">
        <f>SUM(G221:G224)</f>
        <v>1504.28</v>
      </c>
      <c r="H220" s="446">
        <f t="shared" ref="H220:AA220" si="146">SUM(H221:H224)</f>
        <v>1432.65</v>
      </c>
      <c r="I220" s="446">
        <f t="shared" si="146"/>
        <v>71.63</v>
      </c>
      <c r="J220" s="446">
        <f t="shared" si="146"/>
        <v>0</v>
      </c>
      <c r="K220" s="446">
        <f t="shared" si="146"/>
        <v>1004.4000000000001</v>
      </c>
      <c r="L220" s="446">
        <f t="shared" si="146"/>
        <v>952.53</v>
      </c>
      <c r="M220" s="446">
        <f t="shared" si="146"/>
        <v>51.870000000000005</v>
      </c>
      <c r="N220" s="446">
        <f t="shared" si="146"/>
        <v>270.74</v>
      </c>
      <c r="O220" s="446">
        <f t="shared" si="146"/>
        <v>257.85000000000002</v>
      </c>
      <c r="P220" s="446">
        <f t="shared" si="146"/>
        <v>12.89</v>
      </c>
      <c r="Q220" s="446">
        <f t="shared" si="146"/>
        <v>364.36</v>
      </c>
      <c r="R220" s="446">
        <f t="shared" si="146"/>
        <v>345.68</v>
      </c>
      <c r="S220" s="446">
        <f t="shared" si="146"/>
        <v>18.68</v>
      </c>
      <c r="T220" s="446">
        <f t="shared" si="146"/>
        <v>369.3</v>
      </c>
      <c r="U220" s="446">
        <f t="shared" si="146"/>
        <v>349</v>
      </c>
      <c r="V220" s="446">
        <f t="shared" si="146"/>
        <v>20.3</v>
      </c>
      <c r="W220" s="446">
        <f t="shared" si="146"/>
        <v>499.88</v>
      </c>
      <c r="X220" s="446">
        <f t="shared" si="146"/>
        <v>480.12</v>
      </c>
      <c r="Y220" s="446">
        <f t="shared" si="146"/>
        <v>19.760000000000002</v>
      </c>
      <c r="Z220" s="446"/>
      <c r="AA220" s="446">
        <f t="shared" si="146"/>
        <v>0</v>
      </c>
      <c r="AB220" s="16"/>
      <c r="AC220" s="368">
        <f>+'NĂM 2022'!K71+'NĂM 2023'!N86+'NĂM 2024'!J78+'NĂM 2025'!J75</f>
        <v>1504.28</v>
      </c>
      <c r="AD220" s="368">
        <f>+'NĂM 2022'!L71+'NĂM 2023'!O86+'NĂM 2024'!K78+'NĂM 2025'!K75</f>
        <v>1432.65</v>
      </c>
      <c r="AE220" s="368">
        <f>+'NĂM 2022'!M71+'NĂM 2023'!P86+'NĂM 2024'!L78+'NĂM 2025'!L75</f>
        <v>71.63</v>
      </c>
    </row>
    <row r="221" spans="1:31" ht="75" hidden="1">
      <c r="A221" s="8">
        <v>1</v>
      </c>
      <c r="B221" s="328" t="s">
        <v>435</v>
      </c>
      <c r="C221" s="8" t="s">
        <v>436</v>
      </c>
      <c r="D221" s="8"/>
      <c r="E221" s="8" t="s">
        <v>437</v>
      </c>
      <c r="F221" s="27" t="s">
        <v>52</v>
      </c>
      <c r="G221" s="445">
        <f t="shared" si="122"/>
        <v>270.74</v>
      </c>
      <c r="H221" s="445">
        <v>257.85000000000002</v>
      </c>
      <c r="I221" s="445">
        <v>12.89</v>
      </c>
      <c r="J221" s="451">
        <v>0</v>
      </c>
      <c r="K221" s="451">
        <f>+L221+M221</f>
        <v>270.74</v>
      </c>
      <c r="L221" s="451">
        <f>+O221+R221+U221</f>
        <v>257.85000000000002</v>
      </c>
      <c r="M221" s="451">
        <f>+P221+S221+V221</f>
        <v>12.89</v>
      </c>
      <c r="N221" s="445">
        <f t="shared" si="123"/>
        <v>270.74</v>
      </c>
      <c r="O221" s="445">
        <v>257.85000000000002</v>
      </c>
      <c r="P221" s="445">
        <v>12.89</v>
      </c>
      <c r="Q221" s="445"/>
      <c r="R221" s="481"/>
      <c r="S221" s="481"/>
      <c r="T221" s="445"/>
      <c r="U221" s="481"/>
      <c r="V221" s="481"/>
      <c r="W221" s="445"/>
      <c r="X221" s="481"/>
      <c r="Y221" s="481"/>
      <c r="Z221" s="445"/>
      <c r="AA221" s="451"/>
      <c r="AB221" s="15"/>
      <c r="AC221" s="506">
        <f>+G220-K220</f>
        <v>499.87999999999988</v>
      </c>
      <c r="AD221" s="506">
        <f>+H220-L220</f>
        <v>480.12000000000012</v>
      </c>
      <c r="AE221" s="506">
        <f>+I220-M220</f>
        <v>19.759999999999991</v>
      </c>
    </row>
    <row r="222" spans="1:31" ht="75" hidden="1">
      <c r="A222" s="8">
        <v>2</v>
      </c>
      <c r="B222" s="328" t="s">
        <v>435</v>
      </c>
      <c r="C222" s="8" t="s">
        <v>436</v>
      </c>
      <c r="D222" s="8"/>
      <c r="E222" s="8" t="s">
        <v>437</v>
      </c>
      <c r="F222" s="8" t="s">
        <v>53</v>
      </c>
      <c r="G222" s="445">
        <f t="shared" si="122"/>
        <v>328.34</v>
      </c>
      <c r="H222" s="445">
        <v>312.7</v>
      </c>
      <c r="I222" s="445">
        <v>15.64</v>
      </c>
      <c r="J222" s="451">
        <v>0</v>
      </c>
      <c r="K222" s="451">
        <f t="shared" ref="K222:K224" si="147">+L222+M222</f>
        <v>364.36</v>
      </c>
      <c r="L222" s="451">
        <f t="shared" ref="L222:L224" si="148">+O222+R222+U222</f>
        <v>345.68</v>
      </c>
      <c r="M222" s="451">
        <f t="shared" ref="M222:M224" si="149">+P222+S222+V222</f>
        <v>18.68</v>
      </c>
      <c r="N222" s="445">
        <f t="shared" si="123"/>
        <v>0</v>
      </c>
      <c r="O222" s="451"/>
      <c r="P222" s="451"/>
      <c r="Q222" s="451">
        <f>+R222+S222</f>
        <v>364.36</v>
      </c>
      <c r="R222" s="483">
        <v>345.68</v>
      </c>
      <c r="S222" s="483">
        <v>18.68</v>
      </c>
      <c r="T222" s="451"/>
      <c r="U222" s="483"/>
      <c r="V222" s="483"/>
      <c r="W222" s="451"/>
      <c r="X222" s="483"/>
      <c r="Y222" s="483"/>
      <c r="Z222" s="451"/>
      <c r="AA222" s="451"/>
      <c r="AB222" s="15"/>
      <c r="AC222" s="506">
        <f>+AC221-W220</f>
        <v>0</v>
      </c>
      <c r="AD222" s="506">
        <f t="shared" ref="AD222:AE222" si="150">+AD221-X220</f>
        <v>0</v>
      </c>
      <c r="AE222" s="506">
        <f t="shared" si="150"/>
        <v>0</v>
      </c>
    </row>
    <row r="223" spans="1:31" ht="45" hidden="1">
      <c r="A223" s="8">
        <v>3</v>
      </c>
      <c r="B223" s="340" t="s">
        <v>438</v>
      </c>
      <c r="C223" s="8" t="s">
        <v>436</v>
      </c>
      <c r="D223" s="8"/>
      <c r="E223" s="8" t="s">
        <v>439</v>
      </c>
      <c r="F223" s="8" t="s">
        <v>54</v>
      </c>
      <c r="G223" s="445">
        <f t="shared" si="122"/>
        <v>480.9</v>
      </c>
      <c r="H223" s="445">
        <v>458</v>
      </c>
      <c r="I223" s="445">
        <v>22.9</v>
      </c>
      <c r="J223" s="451">
        <v>0</v>
      </c>
      <c r="K223" s="451">
        <f t="shared" si="147"/>
        <v>0</v>
      </c>
      <c r="L223" s="451">
        <f t="shared" si="148"/>
        <v>0</v>
      </c>
      <c r="M223" s="451">
        <f t="shared" si="149"/>
        <v>0</v>
      </c>
      <c r="N223" s="445">
        <f t="shared" si="123"/>
        <v>0</v>
      </c>
      <c r="O223" s="451"/>
      <c r="P223" s="451"/>
      <c r="Q223" s="451"/>
      <c r="R223" s="483"/>
      <c r="S223" s="483"/>
      <c r="T223" s="451"/>
      <c r="U223" s="483"/>
      <c r="V223" s="483"/>
      <c r="W223" s="451">
        <f>+X223+Y223</f>
        <v>499.88</v>
      </c>
      <c r="X223" s="483">
        <v>480.12</v>
      </c>
      <c r="Y223" s="483">
        <v>19.760000000000002</v>
      </c>
      <c r="Z223" s="451"/>
      <c r="AA223" s="451"/>
      <c r="AB223" s="15"/>
      <c r="AC223" s="506"/>
      <c r="AD223" s="506"/>
      <c r="AE223" s="506"/>
    </row>
    <row r="224" spans="1:31" ht="30" hidden="1">
      <c r="A224" s="8">
        <v>4</v>
      </c>
      <c r="B224" s="328" t="s">
        <v>440</v>
      </c>
      <c r="C224" s="8" t="s">
        <v>436</v>
      </c>
      <c r="D224" s="8"/>
      <c r="E224" s="8" t="s">
        <v>441</v>
      </c>
      <c r="F224" s="8" t="s">
        <v>55</v>
      </c>
      <c r="G224" s="445">
        <f t="shared" si="122"/>
        <v>424.3</v>
      </c>
      <c r="H224" s="445">
        <v>404.1</v>
      </c>
      <c r="I224" s="445">
        <v>20.2</v>
      </c>
      <c r="J224" s="451">
        <v>0</v>
      </c>
      <c r="K224" s="451">
        <f t="shared" si="147"/>
        <v>369.3</v>
      </c>
      <c r="L224" s="451">
        <f t="shared" si="148"/>
        <v>349</v>
      </c>
      <c r="M224" s="451">
        <f t="shared" si="149"/>
        <v>20.3</v>
      </c>
      <c r="N224" s="445">
        <f t="shared" si="123"/>
        <v>0</v>
      </c>
      <c r="O224" s="451"/>
      <c r="P224" s="451"/>
      <c r="Q224" s="451"/>
      <c r="R224" s="483"/>
      <c r="S224" s="483"/>
      <c r="T224" s="451">
        <f>+U224+V224</f>
        <v>369.3</v>
      </c>
      <c r="U224" s="483">
        <v>349</v>
      </c>
      <c r="V224" s="483">
        <v>20.3</v>
      </c>
      <c r="W224" s="451"/>
      <c r="X224" s="483"/>
      <c r="Y224" s="483"/>
      <c r="Z224" s="451"/>
      <c r="AA224" s="451"/>
      <c r="AB224" s="15"/>
    </row>
    <row r="225" spans="1:31" s="14" customFormat="1" ht="23.25" customHeight="1">
      <c r="A225" s="4" t="s">
        <v>1001</v>
      </c>
      <c r="B225" s="507" t="s">
        <v>443</v>
      </c>
      <c r="C225" s="4"/>
      <c r="D225" s="4"/>
      <c r="E225" s="417">
        <v>0</v>
      </c>
      <c r="F225" s="417"/>
      <c r="G225" s="446">
        <f>SUM(G226:G238)</f>
        <v>10094.74</v>
      </c>
      <c r="H225" s="446">
        <f t="shared" ref="H225:AA225" si="151">SUM(H226:H238)</f>
        <v>9614.0400000000009</v>
      </c>
      <c r="I225" s="446">
        <f t="shared" si="151"/>
        <v>480.7</v>
      </c>
      <c r="J225" s="446">
        <f t="shared" si="151"/>
        <v>0</v>
      </c>
      <c r="K225" s="446">
        <f t="shared" si="151"/>
        <v>6739.96</v>
      </c>
      <c r="L225" s="446">
        <f t="shared" si="151"/>
        <v>6392</v>
      </c>
      <c r="M225" s="446">
        <f t="shared" si="151"/>
        <v>347.96</v>
      </c>
      <c r="N225" s="446">
        <f t="shared" si="151"/>
        <v>1816.87</v>
      </c>
      <c r="O225" s="446">
        <f t="shared" si="151"/>
        <v>1730.35</v>
      </c>
      <c r="P225" s="446">
        <f t="shared" si="151"/>
        <v>86.52</v>
      </c>
      <c r="Q225" s="446">
        <f t="shared" si="151"/>
        <v>2444.9899999999998</v>
      </c>
      <c r="R225" s="446">
        <f t="shared" si="151"/>
        <v>2319.75</v>
      </c>
      <c r="S225" s="446">
        <f t="shared" si="151"/>
        <v>125.24000000000001</v>
      </c>
      <c r="T225" s="446">
        <f t="shared" si="151"/>
        <v>2478.1000000000004</v>
      </c>
      <c r="U225" s="446">
        <f t="shared" si="151"/>
        <v>2341.8999999999996</v>
      </c>
      <c r="V225" s="446">
        <f t="shared" si="151"/>
        <v>136.19999999999999</v>
      </c>
      <c r="W225" s="446">
        <f>SUM(W226:W240)</f>
        <v>3354.78</v>
      </c>
      <c r="X225" s="446">
        <f t="shared" ref="X225:Y225" si="152">SUM(X226:X240)</f>
        <v>3222.04</v>
      </c>
      <c r="Y225" s="446">
        <f t="shared" si="152"/>
        <v>132.73999999999998</v>
      </c>
      <c r="Z225" s="446"/>
      <c r="AA225" s="446">
        <f t="shared" si="151"/>
        <v>0</v>
      </c>
      <c r="AB225" s="16"/>
      <c r="AC225" s="368">
        <f>+'NĂM 2022'!K73+'NĂM 2023'!N88+'NĂM 2024'!J80+'NĂM 2025'!J77</f>
        <v>10094.74</v>
      </c>
      <c r="AD225" s="368">
        <f>+'NĂM 2022'!L73+'NĂM 2023'!O88+'NĂM 2024'!K80+'NĂM 2025'!K77</f>
        <v>9614.0400000000009</v>
      </c>
      <c r="AE225" s="368">
        <f>+'NĂM 2022'!M73+'NĂM 2023'!P88+'NĂM 2024'!L80+'NĂM 2025'!L77</f>
        <v>480.7</v>
      </c>
    </row>
    <row r="226" spans="1:31" ht="60" hidden="1">
      <c r="A226" s="8">
        <v>1</v>
      </c>
      <c r="B226" s="328" t="s">
        <v>444</v>
      </c>
      <c r="C226" s="8" t="s">
        <v>445</v>
      </c>
      <c r="D226" s="8"/>
      <c r="E226" s="22" t="s">
        <v>446</v>
      </c>
      <c r="F226" s="8" t="s">
        <v>52</v>
      </c>
      <c r="G226" s="445">
        <f t="shared" si="122"/>
        <v>1396.87</v>
      </c>
      <c r="H226" s="445">
        <v>1330.35</v>
      </c>
      <c r="I226" s="445">
        <v>66.52</v>
      </c>
      <c r="J226" s="451">
        <v>0</v>
      </c>
      <c r="K226" s="451">
        <f>+L226+M226</f>
        <v>1396.87</v>
      </c>
      <c r="L226" s="451">
        <f>+O226+R226+U226</f>
        <v>1330.35</v>
      </c>
      <c r="M226" s="451">
        <f>+P226+S226+V226</f>
        <v>66.52</v>
      </c>
      <c r="N226" s="445">
        <f t="shared" si="123"/>
        <v>1396.87</v>
      </c>
      <c r="O226" s="445">
        <v>1330.35</v>
      </c>
      <c r="P226" s="445">
        <v>66.52</v>
      </c>
      <c r="Q226" s="445"/>
      <c r="R226" s="481"/>
      <c r="S226" s="481"/>
      <c r="T226" s="445"/>
      <c r="U226" s="481"/>
      <c r="V226" s="481"/>
      <c r="W226" s="445"/>
      <c r="X226" s="481"/>
      <c r="Y226" s="481"/>
      <c r="Z226" s="445"/>
      <c r="AA226" s="451"/>
      <c r="AB226" s="15"/>
      <c r="AC226" s="506">
        <f>+G225-K225</f>
        <v>3354.7799999999997</v>
      </c>
      <c r="AD226" s="506">
        <f>+H225-L225</f>
        <v>3222.0400000000009</v>
      </c>
      <c r="AE226" s="506">
        <f>+I225-M225</f>
        <v>132.74</v>
      </c>
    </row>
    <row r="227" spans="1:31" ht="75" hidden="1">
      <c r="A227" s="8">
        <v>2</v>
      </c>
      <c r="B227" s="328" t="s">
        <v>447</v>
      </c>
      <c r="C227" s="8" t="s">
        <v>445</v>
      </c>
      <c r="D227" s="8"/>
      <c r="E227" s="8" t="s">
        <v>94</v>
      </c>
      <c r="F227" s="8" t="s">
        <v>52</v>
      </c>
      <c r="G227" s="445">
        <f t="shared" si="122"/>
        <v>420</v>
      </c>
      <c r="H227" s="445">
        <v>400</v>
      </c>
      <c r="I227" s="445">
        <v>20</v>
      </c>
      <c r="J227" s="451">
        <v>0</v>
      </c>
      <c r="K227" s="451">
        <f t="shared" ref="K227:K238" si="153">+L227+M227</f>
        <v>420</v>
      </c>
      <c r="L227" s="451">
        <f t="shared" ref="L227:L238" si="154">+O227+R227+U227</f>
        <v>400</v>
      </c>
      <c r="M227" s="451">
        <f t="shared" ref="M227:M238" si="155">+P227+S227+V227</f>
        <v>20</v>
      </c>
      <c r="N227" s="445">
        <f t="shared" si="123"/>
        <v>420</v>
      </c>
      <c r="O227" s="445">
        <v>400</v>
      </c>
      <c r="P227" s="445">
        <v>20</v>
      </c>
      <c r="Q227" s="445"/>
      <c r="R227" s="481"/>
      <c r="S227" s="481"/>
      <c r="T227" s="445"/>
      <c r="U227" s="481"/>
      <c r="V227" s="481"/>
      <c r="W227" s="445"/>
      <c r="X227" s="481"/>
      <c r="Y227" s="481"/>
      <c r="Z227" s="445"/>
      <c r="AA227" s="451"/>
      <c r="AB227" s="15"/>
      <c r="AC227" s="365">
        <f>+AC226-W225</f>
        <v>0</v>
      </c>
      <c r="AD227" s="365">
        <f t="shared" ref="AD227:AE227" si="156">+AD226-X225</f>
        <v>0</v>
      </c>
      <c r="AE227" s="365">
        <f t="shared" si="156"/>
        <v>0</v>
      </c>
    </row>
    <row r="228" spans="1:31" ht="60" hidden="1">
      <c r="A228" s="8">
        <v>3</v>
      </c>
      <c r="B228" s="341" t="s">
        <v>448</v>
      </c>
      <c r="C228" s="8" t="s">
        <v>449</v>
      </c>
      <c r="D228" s="8"/>
      <c r="E228" s="22" t="s">
        <v>450</v>
      </c>
      <c r="F228" s="8" t="s">
        <v>53</v>
      </c>
      <c r="G228" s="445">
        <f t="shared" si="122"/>
        <v>1365</v>
      </c>
      <c r="H228" s="445">
        <v>1300</v>
      </c>
      <c r="I228" s="445">
        <v>65</v>
      </c>
      <c r="J228" s="451"/>
      <c r="K228" s="451">
        <f t="shared" si="153"/>
        <v>1308.1000000000001</v>
      </c>
      <c r="L228" s="451">
        <f t="shared" si="154"/>
        <v>1236.2</v>
      </c>
      <c r="M228" s="451">
        <f t="shared" si="155"/>
        <v>71.900000000000006</v>
      </c>
      <c r="N228" s="445">
        <f t="shared" si="123"/>
        <v>0</v>
      </c>
      <c r="O228" s="451"/>
      <c r="P228" s="451"/>
      <c r="Q228" s="451"/>
      <c r="R228" s="483"/>
      <c r="S228" s="483"/>
      <c r="T228" s="451">
        <f>+U228+V228</f>
        <v>1308.1000000000001</v>
      </c>
      <c r="U228" s="483">
        <v>1236.2</v>
      </c>
      <c r="V228" s="483">
        <v>71.900000000000006</v>
      </c>
      <c r="W228" s="451"/>
      <c r="X228" s="483"/>
      <c r="Y228" s="483"/>
      <c r="Z228" s="451"/>
      <c r="AA228" s="451"/>
      <c r="AB228" s="15"/>
      <c r="AC228" s="506"/>
    </row>
    <row r="229" spans="1:31" ht="75" hidden="1">
      <c r="A229" s="8">
        <v>4</v>
      </c>
      <c r="B229" s="328" t="s">
        <v>451</v>
      </c>
      <c r="C229" s="8" t="s">
        <v>452</v>
      </c>
      <c r="D229" s="8"/>
      <c r="E229" s="8" t="s">
        <v>94</v>
      </c>
      <c r="F229" s="8" t="s">
        <v>53</v>
      </c>
      <c r="G229" s="445">
        <f t="shared" si="122"/>
        <v>420</v>
      </c>
      <c r="H229" s="445">
        <v>400</v>
      </c>
      <c r="I229" s="445">
        <v>20</v>
      </c>
      <c r="J229" s="451">
        <v>0</v>
      </c>
      <c r="K229" s="451">
        <f t="shared" si="153"/>
        <v>400.25</v>
      </c>
      <c r="L229" s="451">
        <f t="shared" si="154"/>
        <v>379.75</v>
      </c>
      <c r="M229" s="451">
        <f t="shared" si="155"/>
        <v>20.5</v>
      </c>
      <c r="N229" s="445">
        <f t="shared" si="123"/>
        <v>0</v>
      </c>
      <c r="O229" s="451"/>
      <c r="P229" s="451"/>
      <c r="Q229" s="451">
        <f>+R229+S229</f>
        <v>400.25</v>
      </c>
      <c r="R229" s="483">
        <v>379.75</v>
      </c>
      <c r="S229" s="483">
        <v>20.5</v>
      </c>
      <c r="T229" s="451"/>
      <c r="U229" s="483"/>
      <c r="V229" s="483"/>
      <c r="W229" s="451"/>
      <c r="X229" s="483"/>
      <c r="Y229" s="483"/>
      <c r="Z229" s="451"/>
      <c r="AA229" s="451"/>
      <c r="AB229" s="15"/>
    </row>
    <row r="230" spans="1:31" ht="60" hidden="1">
      <c r="A230" s="8">
        <v>5</v>
      </c>
      <c r="B230" s="341" t="s">
        <v>453</v>
      </c>
      <c r="C230" s="8" t="s">
        <v>454</v>
      </c>
      <c r="D230" s="8"/>
      <c r="E230" s="22" t="s">
        <v>455</v>
      </c>
      <c r="F230" s="8" t="s">
        <v>53</v>
      </c>
      <c r="G230" s="445">
        <f t="shared" si="122"/>
        <v>1050</v>
      </c>
      <c r="H230" s="445">
        <v>1000</v>
      </c>
      <c r="I230" s="445">
        <v>50</v>
      </c>
      <c r="J230" s="451">
        <v>0</v>
      </c>
      <c r="K230" s="451">
        <f t="shared" si="153"/>
        <v>716.7</v>
      </c>
      <c r="L230" s="451">
        <f t="shared" si="154"/>
        <v>680</v>
      </c>
      <c r="M230" s="451">
        <f t="shared" si="155"/>
        <v>36.700000000000003</v>
      </c>
      <c r="N230" s="445">
        <f t="shared" si="123"/>
        <v>0</v>
      </c>
      <c r="O230" s="451"/>
      <c r="P230" s="451"/>
      <c r="Q230" s="451">
        <f>+R230+S230</f>
        <v>716.7</v>
      </c>
      <c r="R230" s="483">
        <v>680</v>
      </c>
      <c r="S230" s="483">
        <v>36.700000000000003</v>
      </c>
      <c r="T230" s="451"/>
      <c r="U230" s="483"/>
      <c r="V230" s="483"/>
      <c r="W230" s="451"/>
      <c r="X230" s="483"/>
      <c r="Y230" s="483"/>
      <c r="Z230" s="451"/>
      <c r="AA230" s="451"/>
      <c r="AB230" s="15"/>
    </row>
    <row r="231" spans="1:31" ht="75" hidden="1">
      <c r="A231" s="8">
        <v>6</v>
      </c>
      <c r="B231" s="328" t="s">
        <v>456</v>
      </c>
      <c r="C231" s="8" t="s">
        <v>454</v>
      </c>
      <c r="D231" s="8"/>
      <c r="E231" s="8" t="s">
        <v>94</v>
      </c>
      <c r="F231" s="8" t="s">
        <v>54</v>
      </c>
      <c r="G231" s="445">
        <f t="shared" si="122"/>
        <v>420</v>
      </c>
      <c r="H231" s="445">
        <v>400</v>
      </c>
      <c r="I231" s="445">
        <v>20</v>
      </c>
      <c r="J231" s="451">
        <v>0</v>
      </c>
      <c r="K231" s="451">
        <f t="shared" si="153"/>
        <v>420</v>
      </c>
      <c r="L231" s="451">
        <f t="shared" si="154"/>
        <v>396.9</v>
      </c>
      <c r="M231" s="451">
        <f t="shared" si="155"/>
        <v>23.1</v>
      </c>
      <c r="N231" s="445">
        <f t="shared" si="123"/>
        <v>0</v>
      </c>
      <c r="O231" s="451"/>
      <c r="P231" s="451"/>
      <c r="Q231" s="451"/>
      <c r="R231" s="483"/>
      <c r="S231" s="483"/>
      <c r="T231" s="451">
        <f>+U231+V231</f>
        <v>420</v>
      </c>
      <c r="U231" s="483">
        <v>396.9</v>
      </c>
      <c r="V231" s="483">
        <v>23.1</v>
      </c>
      <c r="W231" s="451"/>
      <c r="X231" s="483"/>
      <c r="Y231" s="483"/>
      <c r="Z231" s="451"/>
      <c r="AA231" s="451"/>
      <c r="AB231" s="15"/>
    </row>
    <row r="232" spans="1:31" ht="60" hidden="1">
      <c r="A232" s="8">
        <v>7</v>
      </c>
      <c r="B232" s="341" t="s">
        <v>457</v>
      </c>
      <c r="C232" s="8" t="s">
        <v>449</v>
      </c>
      <c r="D232" s="8"/>
      <c r="E232" s="22" t="s">
        <v>458</v>
      </c>
      <c r="F232" s="8" t="s">
        <v>54</v>
      </c>
      <c r="G232" s="445">
        <f t="shared" si="122"/>
        <v>1155</v>
      </c>
      <c r="H232" s="445">
        <v>1100</v>
      </c>
      <c r="I232" s="445">
        <v>55</v>
      </c>
      <c r="J232" s="451">
        <v>0</v>
      </c>
      <c r="K232" s="451">
        <f t="shared" si="153"/>
        <v>1328.04</v>
      </c>
      <c r="L232" s="451">
        <f t="shared" si="154"/>
        <v>1260</v>
      </c>
      <c r="M232" s="451">
        <f t="shared" si="155"/>
        <v>68.040000000000006</v>
      </c>
      <c r="N232" s="445">
        <f t="shared" si="123"/>
        <v>0</v>
      </c>
      <c r="O232" s="451"/>
      <c r="P232" s="451"/>
      <c r="Q232" s="451">
        <f>+R232+S232</f>
        <v>1328.04</v>
      </c>
      <c r="R232" s="483">
        <v>1260</v>
      </c>
      <c r="S232" s="483">
        <v>68.040000000000006</v>
      </c>
      <c r="T232" s="451"/>
      <c r="U232" s="483"/>
      <c r="V232" s="483"/>
      <c r="W232" s="451"/>
      <c r="X232" s="483"/>
      <c r="Y232" s="483"/>
      <c r="Z232" s="451"/>
      <c r="AA232" s="451"/>
      <c r="AB232" s="15"/>
    </row>
    <row r="233" spans="1:31" ht="60" hidden="1">
      <c r="A233" s="8">
        <v>8</v>
      </c>
      <c r="B233" s="328" t="s">
        <v>459</v>
      </c>
      <c r="C233" s="8" t="s">
        <v>460</v>
      </c>
      <c r="D233" s="8"/>
      <c r="E233" s="22" t="s">
        <v>461</v>
      </c>
      <c r="F233" s="8" t="s">
        <v>54</v>
      </c>
      <c r="G233" s="445">
        <f t="shared" si="122"/>
        <v>840</v>
      </c>
      <c r="H233" s="445">
        <v>800</v>
      </c>
      <c r="I233" s="445">
        <v>40</v>
      </c>
      <c r="J233" s="451">
        <v>0</v>
      </c>
      <c r="K233" s="451">
        <f t="shared" si="153"/>
        <v>0</v>
      </c>
      <c r="L233" s="451">
        <f t="shared" si="154"/>
        <v>0</v>
      </c>
      <c r="M233" s="451">
        <f t="shared" si="155"/>
        <v>0</v>
      </c>
      <c r="N233" s="445">
        <f t="shared" si="123"/>
        <v>0</v>
      </c>
      <c r="O233" s="451"/>
      <c r="P233" s="451"/>
      <c r="Q233" s="451"/>
      <c r="R233" s="483"/>
      <c r="S233" s="483"/>
      <c r="T233" s="451"/>
      <c r="U233" s="483"/>
      <c r="V233" s="483"/>
      <c r="W233" s="451">
        <f>+X233+Y233</f>
        <v>700</v>
      </c>
      <c r="X233" s="483">
        <v>672.3</v>
      </c>
      <c r="Y233" s="483">
        <v>27.7</v>
      </c>
      <c r="Z233" s="451"/>
      <c r="AA233" s="451"/>
      <c r="AB233" s="15"/>
    </row>
    <row r="234" spans="1:31" ht="75" hidden="1">
      <c r="A234" s="8">
        <v>9</v>
      </c>
      <c r="B234" s="328" t="s">
        <v>462</v>
      </c>
      <c r="C234" s="8" t="s">
        <v>463</v>
      </c>
      <c r="D234" s="8"/>
      <c r="E234" s="8" t="s">
        <v>94</v>
      </c>
      <c r="F234" s="8" t="s">
        <v>54</v>
      </c>
      <c r="G234" s="445">
        <f t="shared" ref="G234:G289" si="157">H234+I234</f>
        <v>420</v>
      </c>
      <c r="H234" s="445">
        <v>400</v>
      </c>
      <c r="I234" s="445">
        <v>20</v>
      </c>
      <c r="J234" s="451">
        <v>0</v>
      </c>
      <c r="K234" s="451">
        <f t="shared" si="153"/>
        <v>0</v>
      </c>
      <c r="L234" s="451">
        <f t="shared" si="154"/>
        <v>0</v>
      </c>
      <c r="M234" s="451">
        <f t="shared" si="155"/>
        <v>0</v>
      </c>
      <c r="N234" s="445">
        <f t="shared" ref="N234:N289" si="158">O234+P234</f>
        <v>0</v>
      </c>
      <c r="O234" s="451"/>
      <c r="P234" s="451"/>
      <c r="Q234" s="451"/>
      <c r="R234" s="483"/>
      <c r="S234" s="483"/>
      <c r="T234" s="451"/>
      <c r="U234" s="483"/>
      <c r="V234" s="483"/>
      <c r="W234" s="445">
        <f t="shared" ref="W234" si="159">X234+Y234</f>
        <v>420</v>
      </c>
      <c r="X234" s="445">
        <v>403.38</v>
      </c>
      <c r="Y234" s="445">
        <v>16.62</v>
      </c>
      <c r="Z234" s="451"/>
      <c r="AA234" s="451"/>
      <c r="AB234" s="15"/>
    </row>
    <row r="235" spans="1:31" ht="60" hidden="1">
      <c r="A235" s="8">
        <v>10</v>
      </c>
      <c r="B235" s="328" t="s">
        <v>464</v>
      </c>
      <c r="C235" s="8" t="s">
        <v>463</v>
      </c>
      <c r="D235" s="8"/>
      <c r="E235" s="22" t="s">
        <v>461</v>
      </c>
      <c r="F235" s="8" t="s">
        <v>55</v>
      </c>
      <c r="G235" s="445">
        <f t="shared" si="157"/>
        <v>822.87</v>
      </c>
      <c r="H235" s="445">
        <v>783.69</v>
      </c>
      <c r="I235" s="445">
        <v>39.18</v>
      </c>
      <c r="J235" s="451">
        <v>0</v>
      </c>
      <c r="K235" s="451">
        <f t="shared" si="153"/>
        <v>750</v>
      </c>
      <c r="L235" s="451">
        <f t="shared" si="154"/>
        <v>708.8</v>
      </c>
      <c r="M235" s="451">
        <f t="shared" si="155"/>
        <v>41.2</v>
      </c>
      <c r="N235" s="445">
        <f t="shared" si="158"/>
        <v>0</v>
      </c>
      <c r="O235" s="451"/>
      <c r="P235" s="451"/>
      <c r="Q235" s="451"/>
      <c r="R235" s="483"/>
      <c r="S235" s="483"/>
      <c r="T235" s="451">
        <f>+U235+V235</f>
        <v>750</v>
      </c>
      <c r="U235" s="483">
        <v>708.8</v>
      </c>
      <c r="V235" s="483">
        <v>41.2</v>
      </c>
      <c r="W235" s="451"/>
      <c r="X235" s="483"/>
      <c r="Y235" s="483"/>
      <c r="Z235" s="451"/>
      <c r="AA235" s="451"/>
      <c r="AB235" s="15"/>
    </row>
    <row r="236" spans="1:31" ht="60" hidden="1">
      <c r="A236" s="8">
        <v>11</v>
      </c>
      <c r="B236" s="328" t="s">
        <v>465</v>
      </c>
      <c r="C236" s="8" t="s">
        <v>454</v>
      </c>
      <c r="D236" s="8"/>
      <c r="E236" s="22" t="s">
        <v>458</v>
      </c>
      <c r="F236" s="8" t="s">
        <v>55</v>
      </c>
      <c r="G236" s="445">
        <f t="shared" si="157"/>
        <v>1260</v>
      </c>
      <c r="H236" s="445">
        <v>1200</v>
      </c>
      <c r="I236" s="445">
        <v>60</v>
      </c>
      <c r="J236" s="451">
        <v>0</v>
      </c>
      <c r="K236" s="451">
        <f t="shared" si="153"/>
        <v>0</v>
      </c>
      <c r="L236" s="451">
        <f>+O236+R236+U236</f>
        <v>0</v>
      </c>
      <c r="M236" s="451">
        <f t="shared" ref="M236" si="160">+P236+S236+V236</f>
        <v>0</v>
      </c>
      <c r="N236" s="445">
        <f t="shared" si="158"/>
        <v>0</v>
      </c>
      <c r="O236" s="451"/>
      <c r="P236" s="451"/>
      <c r="Q236" s="451"/>
      <c r="R236" s="483"/>
      <c r="S236" s="483"/>
      <c r="T236" s="451"/>
      <c r="U236" s="483"/>
      <c r="V236" s="483"/>
      <c r="W236" s="445">
        <f t="shared" ref="W236:W237" si="161">X236+Y236</f>
        <v>1260</v>
      </c>
      <c r="X236" s="445">
        <v>1210.1500000000001</v>
      </c>
      <c r="Y236" s="445">
        <v>49.85</v>
      </c>
      <c r="Z236" s="451"/>
      <c r="AA236" s="451"/>
      <c r="AB236" s="15"/>
    </row>
    <row r="237" spans="1:31" ht="60" hidden="1">
      <c r="A237" s="8">
        <v>12</v>
      </c>
      <c r="B237" s="328" t="s">
        <v>1154</v>
      </c>
      <c r="C237" s="8" t="s">
        <v>454</v>
      </c>
      <c r="D237" s="8"/>
      <c r="E237" s="22" t="s">
        <v>467</v>
      </c>
      <c r="F237" s="8" t="s">
        <v>55</v>
      </c>
      <c r="G237" s="445">
        <f t="shared" si="157"/>
        <v>315</v>
      </c>
      <c r="H237" s="445">
        <v>300</v>
      </c>
      <c r="I237" s="445">
        <v>15</v>
      </c>
      <c r="J237" s="451">
        <v>0</v>
      </c>
      <c r="K237" s="451">
        <f t="shared" si="153"/>
        <v>0</v>
      </c>
      <c r="L237" s="451">
        <f t="shared" si="154"/>
        <v>0</v>
      </c>
      <c r="M237" s="451">
        <f t="shared" si="155"/>
        <v>0</v>
      </c>
      <c r="N237" s="445">
        <f t="shared" si="158"/>
        <v>0</v>
      </c>
      <c r="O237" s="451"/>
      <c r="P237" s="451"/>
      <c r="Q237" s="451"/>
      <c r="R237" s="483"/>
      <c r="S237" s="483"/>
      <c r="T237" s="451"/>
      <c r="U237" s="483"/>
      <c r="V237" s="483"/>
      <c r="W237" s="445">
        <f t="shared" si="161"/>
        <v>315</v>
      </c>
      <c r="X237" s="445">
        <v>302.54000000000002</v>
      </c>
      <c r="Y237" s="445">
        <v>12.46</v>
      </c>
      <c r="Z237" s="451"/>
      <c r="AA237" s="451"/>
      <c r="AB237" s="15"/>
    </row>
    <row r="238" spans="1:31" ht="75" hidden="1">
      <c r="A238" s="8">
        <v>13</v>
      </c>
      <c r="B238" s="328" t="s">
        <v>468</v>
      </c>
      <c r="C238" s="8" t="s">
        <v>469</v>
      </c>
      <c r="D238" s="8"/>
      <c r="E238" s="22" t="s">
        <v>470</v>
      </c>
      <c r="F238" s="8" t="s">
        <v>55</v>
      </c>
      <c r="G238" s="445">
        <f t="shared" si="157"/>
        <v>210</v>
      </c>
      <c r="H238" s="445">
        <v>200</v>
      </c>
      <c r="I238" s="445">
        <v>10</v>
      </c>
      <c r="J238" s="451">
        <v>0</v>
      </c>
      <c r="K238" s="451">
        <f t="shared" si="153"/>
        <v>0</v>
      </c>
      <c r="L238" s="451">
        <f t="shared" si="154"/>
        <v>0</v>
      </c>
      <c r="M238" s="451">
        <f t="shared" si="155"/>
        <v>0</v>
      </c>
      <c r="N238" s="445">
        <f t="shared" si="158"/>
        <v>0</v>
      </c>
      <c r="O238" s="451"/>
      <c r="P238" s="451"/>
      <c r="Q238" s="451"/>
      <c r="R238" s="483"/>
      <c r="S238" s="483"/>
      <c r="T238" s="451"/>
      <c r="U238" s="483"/>
      <c r="V238" s="483"/>
      <c r="W238" s="451"/>
      <c r="X238" s="483"/>
      <c r="Y238" s="483"/>
      <c r="Z238" s="451"/>
      <c r="AA238" s="451"/>
      <c r="AB238" s="15"/>
    </row>
    <row r="239" spans="1:31" ht="60" hidden="1">
      <c r="A239" s="8"/>
      <c r="B239" s="328" t="s">
        <v>1155</v>
      </c>
      <c r="C239" s="8" t="s">
        <v>1156</v>
      </c>
      <c r="D239" s="8"/>
      <c r="E239" s="22"/>
      <c r="F239" s="8" t="s">
        <v>55</v>
      </c>
      <c r="G239" s="445"/>
      <c r="H239" s="445"/>
      <c r="I239" s="445"/>
      <c r="J239" s="451"/>
      <c r="K239" s="451"/>
      <c r="L239" s="451"/>
      <c r="M239" s="451"/>
      <c r="N239" s="445"/>
      <c r="O239" s="451"/>
      <c r="P239" s="451"/>
      <c r="Q239" s="451"/>
      <c r="R239" s="483"/>
      <c r="S239" s="483"/>
      <c r="T239" s="451"/>
      <c r="U239" s="483"/>
      <c r="V239" s="483"/>
      <c r="W239" s="451">
        <f>+X239+Y239</f>
        <v>359.78000000000003</v>
      </c>
      <c r="X239" s="483">
        <v>345.54</v>
      </c>
      <c r="Y239" s="483">
        <v>14.24</v>
      </c>
      <c r="Z239" s="451"/>
      <c r="AA239" s="451"/>
      <c r="AB239" s="15"/>
    </row>
    <row r="240" spans="1:31" ht="30" hidden="1">
      <c r="A240" s="8"/>
      <c r="B240" s="328" t="s">
        <v>1157</v>
      </c>
      <c r="C240" s="8"/>
      <c r="D240" s="8"/>
      <c r="E240" s="22"/>
      <c r="F240" s="8"/>
      <c r="G240" s="445"/>
      <c r="H240" s="445"/>
      <c r="I240" s="445"/>
      <c r="J240" s="451"/>
      <c r="K240" s="451"/>
      <c r="L240" s="451"/>
      <c r="M240" s="451"/>
      <c r="N240" s="445"/>
      <c r="O240" s="451"/>
      <c r="P240" s="451"/>
      <c r="Q240" s="451"/>
      <c r="R240" s="483"/>
      <c r="S240" s="483"/>
      <c r="T240" s="451"/>
      <c r="U240" s="483"/>
      <c r="V240" s="483"/>
      <c r="W240" s="451">
        <f>+X240+Y240</f>
        <v>300</v>
      </c>
      <c r="X240" s="483">
        <v>288.13</v>
      </c>
      <c r="Y240" s="483">
        <v>11.87</v>
      </c>
      <c r="Z240" s="451"/>
      <c r="AA240" s="451"/>
      <c r="AB240" s="15"/>
    </row>
    <row r="241" spans="1:31" s="14" customFormat="1" ht="23.25" customHeight="1">
      <c r="A241" s="424" t="s">
        <v>1002</v>
      </c>
      <c r="B241" s="518" t="s">
        <v>472</v>
      </c>
      <c r="C241" s="418"/>
      <c r="D241" s="418"/>
      <c r="E241" s="417">
        <v>0</v>
      </c>
      <c r="F241" s="417"/>
      <c r="G241" s="446">
        <f>SUM(G242:G254)</f>
        <v>10098.000000000002</v>
      </c>
      <c r="H241" s="446">
        <f t="shared" ref="H241:AA241" si="162">SUM(H242:H254)</f>
        <v>9617.14</v>
      </c>
      <c r="I241" s="446">
        <f t="shared" si="162"/>
        <v>480.85999999999996</v>
      </c>
      <c r="J241" s="446">
        <f t="shared" si="162"/>
        <v>0</v>
      </c>
      <c r="K241" s="446">
        <f t="shared" si="162"/>
        <v>6733.7983999999997</v>
      </c>
      <c r="L241" s="446">
        <f t="shared" si="162"/>
        <v>6385.6484</v>
      </c>
      <c r="M241" s="446">
        <f t="shared" si="162"/>
        <v>348.15</v>
      </c>
      <c r="N241" s="446">
        <f t="shared" si="162"/>
        <v>1817.46</v>
      </c>
      <c r="O241" s="446">
        <f t="shared" si="162"/>
        <v>1730.91</v>
      </c>
      <c r="P241" s="446">
        <f t="shared" si="162"/>
        <v>86.55</v>
      </c>
      <c r="Q241" s="446">
        <f t="shared" si="162"/>
        <v>2437.3383999999996</v>
      </c>
      <c r="R241" s="446">
        <f t="shared" si="162"/>
        <v>2312.0383999999999</v>
      </c>
      <c r="S241" s="446">
        <f t="shared" si="162"/>
        <v>125.3</v>
      </c>
      <c r="T241" s="446">
        <f t="shared" si="162"/>
        <v>2479</v>
      </c>
      <c r="U241" s="446">
        <f t="shared" si="162"/>
        <v>2342.6999999999998</v>
      </c>
      <c r="V241" s="446">
        <f t="shared" si="162"/>
        <v>136.30000000000001</v>
      </c>
      <c r="W241" s="446">
        <f>SUM(W242:W256)</f>
        <v>3364.2016000000003</v>
      </c>
      <c r="X241" s="446">
        <f t="shared" ref="X241:Y241" si="163">SUM(X242:X256)</f>
        <v>3231.4916000000003</v>
      </c>
      <c r="Y241" s="446">
        <f t="shared" si="163"/>
        <v>132.71</v>
      </c>
      <c r="Z241" s="446"/>
      <c r="AA241" s="446">
        <f t="shared" si="162"/>
        <v>0</v>
      </c>
      <c r="AB241" s="16"/>
      <c r="AC241" s="368">
        <f>+'NĂM 2022'!K76+'NĂM 2023'!N92+'NĂM 2024'!J85+'NĂM 2025'!J82</f>
        <v>10098</v>
      </c>
      <c r="AD241" s="368">
        <f>+'NĂM 2022'!L76+'NĂM 2023'!O92+'NĂM 2024'!K85+'NĂM 2025'!K82</f>
        <v>9617.14</v>
      </c>
      <c r="AE241" s="368">
        <f>+'NĂM 2022'!M76+'NĂM 2023'!P92+'NĂM 2024'!L85+'NĂM 2025'!L82</f>
        <v>480.86</v>
      </c>
    </row>
    <row r="242" spans="1:31" ht="75">
      <c r="A242" s="19">
        <v>1</v>
      </c>
      <c r="B242" s="343" t="s">
        <v>473</v>
      </c>
      <c r="C242" s="19" t="s">
        <v>474</v>
      </c>
      <c r="D242" s="19"/>
      <c r="E242" s="8" t="s">
        <v>475</v>
      </c>
      <c r="F242" s="8" t="s">
        <v>52</v>
      </c>
      <c r="G242" s="445">
        <f t="shared" si="157"/>
        <v>1817.46</v>
      </c>
      <c r="H242" s="445">
        <v>1730.91</v>
      </c>
      <c r="I242" s="445">
        <v>86.55</v>
      </c>
      <c r="J242" s="451">
        <v>0</v>
      </c>
      <c r="K242" s="451">
        <f>+L242+M242</f>
        <v>1817.46</v>
      </c>
      <c r="L242" s="451">
        <f>+O242+R242+U242</f>
        <v>1730.91</v>
      </c>
      <c r="M242" s="451">
        <f>+P242+S242+V242</f>
        <v>86.55</v>
      </c>
      <c r="N242" s="445">
        <f t="shared" si="158"/>
        <v>1817.46</v>
      </c>
      <c r="O242" s="445">
        <v>1730.91</v>
      </c>
      <c r="P242" s="445">
        <v>86.55</v>
      </c>
      <c r="Q242" s="445"/>
      <c r="R242" s="481"/>
      <c r="S242" s="481"/>
      <c r="T242" s="445"/>
      <c r="U242" s="481"/>
      <c r="V242" s="481"/>
      <c r="W242" s="445"/>
      <c r="X242" s="481"/>
      <c r="Y242" s="481"/>
      <c r="Z242" s="445"/>
      <c r="AA242" s="451"/>
      <c r="AB242" s="15"/>
      <c r="AC242" s="506">
        <f>+G241-K241</f>
        <v>3364.2016000000021</v>
      </c>
      <c r="AD242" s="506">
        <f>+H241-L241</f>
        <v>3231.4915999999994</v>
      </c>
      <c r="AE242" s="506">
        <f>+I241-M241</f>
        <v>132.70999999999998</v>
      </c>
    </row>
    <row r="243" spans="1:31" ht="75">
      <c r="A243" s="19">
        <v>2</v>
      </c>
      <c r="B243" s="343" t="s">
        <v>476</v>
      </c>
      <c r="C243" s="19" t="s">
        <v>474</v>
      </c>
      <c r="D243" s="19"/>
      <c r="E243" s="8" t="s">
        <v>94</v>
      </c>
      <c r="F243" s="19" t="s">
        <v>53</v>
      </c>
      <c r="G243" s="445">
        <f t="shared" si="157"/>
        <v>468.3</v>
      </c>
      <c r="H243" s="445">
        <v>446</v>
      </c>
      <c r="I243" s="445">
        <v>22.3</v>
      </c>
      <c r="J243" s="451">
        <v>0</v>
      </c>
      <c r="K243" s="451">
        <f t="shared" ref="K243:K254" si="164">+L243+M243</f>
        <v>540.41</v>
      </c>
      <c r="L243" s="451">
        <f t="shared" ref="L243:L254" si="165">+O243+R243+U243</f>
        <v>510.26</v>
      </c>
      <c r="M243" s="451">
        <f t="shared" ref="M243:M254" si="166">+P243+S243+V243</f>
        <v>30.15</v>
      </c>
      <c r="N243" s="445">
        <f t="shared" si="158"/>
        <v>0</v>
      </c>
      <c r="O243" s="451"/>
      <c r="P243" s="451"/>
      <c r="Q243" s="451">
        <f>+R243+S243</f>
        <v>540.41</v>
      </c>
      <c r="R243" s="483">
        <v>510.26</v>
      </c>
      <c r="S243" s="483">
        <v>30.15</v>
      </c>
      <c r="T243" s="451"/>
      <c r="U243" s="483"/>
      <c r="V243" s="483"/>
      <c r="W243" s="451"/>
      <c r="X243" s="483"/>
      <c r="Y243" s="483"/>
      <c r="Z243" s="451"/>
      <c r="AA243" s="451"/>
      <c r="AB243" s="15"/>
      <c r="AC243" s="515">
        <f>+AC242-W241</f>
        <v>0</v>
      </c>
      <c r="AD243" s="515">
        <f t="shared" ref="AD243:AE243" si="167">+AD242-X241</f>
        <v>0</v>
      </c>
      <c r="AE243" s="515">
        <f t="shared" si="167"/>
        <v>0</v>
      </c>
    </row>
    <row r="244" spans="1:31" ht="75">
      <c r="A244" s="19">
        <v>3</v>
      </c>
      <c r="B244" s="343" t="s">
        <v>477</v>
      </c>
      <c r="C244" s="19" t="s">
        <v>478</v>
      </c>
      <c r="D244" s="19"/>
      <c r="E244" s="8" t="s">
        <v>94</v>
      </c>
      <c r="F244" s="19" t="s">
        <v>53</v>
      </c>
      <c r="G244" s="445">
        <f t="shared" si="157"/>
        <v>468.3</v>
      </c>
      <c r="H244" s="445">
        <v>446</v>
      </c>
      <c r="I244" s="445">
        <v>22.3</v>
      </c>
      <c r="J244" s="451">
        <v>0</v>
      </c>
      <c r="K244" s="451">
        <f t="shared" si="164"/>
        <v>540.4</v>
      </c>
      <c r="L244" s="451">
        <f t="shared" si="165"/>
        <v>510.25</v>
      </c>
      <c r="M244" s="451">
        <f t="shared" si="166"/>
        <v>30.15</v>
      </c>
      <c r="N244" s="445">
        <f t="shared" si="158"/>
        <v>0</v>
      </c>
      <c r="O244" s="451"/>
      <c r="P244" s="451"/>
      <c r="Q244" s="451">
        <f>+R244+S244</f>
        <v>540.4</v>
      </c>
      <c r="R244" s="483">
        <v>510.25</v>
      </c>
      <c r="S244" s="483">
        <v>30.15</v>
      </c>
      <c r="T244" s="451"/>
      <c r="U244" s="483"/>
      <c r="V244" s="483"/>
      <c r="W244" s="451"/>
      <c r="X244" s="483"/>
      <c r="Y244" s="483"/>
      <c r="Z244" s="451"/>
      <c r="AA244" s="451"/>
      <c r="AB244" s="15"/>
    </row>
    <row r="245" spans="1:31" ht="30">
      <c r="A245" s="19">
        <v>4</v>
      </c>
      <c r="B245" s="343" t="s">
        <v>479</v>
      </c>
      <c r="C245" s="19" t="s">
        <v>472</v>
      </c>
      <c r="D245" s="19"/>
      <c r="E245" s="19" t="s">
        <v>480</v>
      </c>
      <c r="F245" s="19" t="s">
        <v>53</v>
      </c>
      <c r="G245" s="445">
        <f t="shared" si="157"/>
        <v>315</v>
      </c>
      <c r="H245" s="445">
        <v>300</v>
      </c>
      <c r="I245" s="445">
        <v>15</v>
      </c>
      <c r="J245" s="451">
        <v>0</v>
      </c>
      <c r="K245" s="451">
        <f t="shared" si="164"/>
        <v>310.06900000000002</v>
      </c>
      <c r="L245" s="451">
        <f t="shared" si="165"/>
        <v>295.06900000000002</v>
      </c>
      <c r="M245" s="451">
        <f t="shared" si="166"/>
        <v>15</v>
      </c>
      <c r="N245" s="445">
        <f t="shared" si="158"/>
        <v>0</v>
      </c>
      <c r="O245" s="451"/>
      <c r="P245" s="451"/>
      <c r="Q245" s="451">
        <f>+R245+S245</f>
        <v>310.06900000000002</v>
      </c>
      <c r="R245" s="483">
        <f>300-4.931</f>
        <v>295.06900000000002</v>
      </c>
      <c r="S245" s="483">
        <v>15</v>
      </c>
      <c r="T245" s="451"/>
      <c r="U245" s="483"/>
      <c r="V245" s="483"/>
      <c r="W245" s="451"/>
      <c r="X245" s="483"/>
      <c r="Y245" s="483"/>
      <c r="Z245" s="451"/>
      <c r="AA245" s="451"/>
      <c r="AB245" s="15"/>
    </row>
    <row r="246" spans="1:31" ht="30">
      <c r="A246" s="19">
        <v>5</v>
      </c>
      <c r="B246" s="343" t="s">
        <v>481</v>
      </c>
      <c r="C246" s="19" t="s">
        <v>482</v>
      </c>
      <c r="D246" s="19"/>
      <c r="E246" s="8" t="s">
        <v>483</v>
      </c>
      <c r="F246" s="19" t="s">
        <v>53</v>
      </c>
      <c r="G246" s="445">
        <f t="shared" si="157"/>
        <v>1323</v>
      </c>
      <c r="H246" s="445">
        <v>1260</v>
      </c>
      <c r="I246" s="445">
        <v>63</v>
      </c>
      <c r="J246" s="451">
        <v>0</v>
      </c>
      <c r="K246" s="451">
        <f t="shared" si="164"/>
        <v>1323.1</v>
      </c>
      <c r="L246" s="451">
        <f t="shared" si="165"/>
        <v>1250.8</v>
      </c>
      <c r="M246" s="451">
        <f t="shared" si="166"/>
        <v>72.3</v>
      </c>
      <c r="N246" s="445">
        <f t="shared" si="158"/>
        <v>0</v>
      </c>
      <c r="O246" s="451"/>
      <c r="P246" s="451"/>
      <c r="Q246" s="451"/>
      <c r="R246" s="483"/>
      <c r="S246" s="483"/>
      <c r="T246" s="451">
        <f>+U246+V246</f>
        <v>1323.1</v>
      </c>
      <c r="U246" s="483">
        <v>1250.8</v>
      </c>
      <c r="V246" s="483">
        <v>72.3</v>
      </c>
      <c r="W246" s="451"/>
      <c r="X246" s="483"/>
      <c r="Y246" s="483"/>
      <c r="Z246" s="451"/>
      <c r="AA246" s="451"/>
      <c r="AB246" s="15"/>
    </row>
    <row r="247" spans="1:31" ht="30">
      <c r="A247" s="19">
        <v>6</v>
      </c>
      <c r="B247" s="343" t="s">
        <v>484</v>
      </c>
      <c r="C247" s="19" t="s">
        <v>482</v>
      </c>
      <c r="D247" s="19"/>
      <c r="E247" s="8" t="s">
        <v>483</v>
      </c>
      <c r="F247" s="19" t="s">
        <v>53</v>
      </c>
      <c r="G247" s="445">
        <f t="shared" si="157"/>
        <v>1050</v>
      </c>
      <c r="H247" s="445">
        <v>1000</v>
      </c>
      <c r="I247" s="445">
        <v>50</v>
      </c>
      <c r="J247" s="451">
        <v>0</v>
      </c>
      <c r="K247" s="451">
        <f t="shared" si="164"/>
        <v>1046.4594</v>
      </c>
      <c r="L247" s="451">
        <f t="shared" si="165"/>
        <v>996.45939999999996</v>
      </c>
      <c r="M247" s="451">
        <f t="shared" si="166"/>
        <v>50</v>
      </c>
      <c r="N247" s="445">
        <f t="shared" si="158"/>
        <v>0</v>
      </c>
      <c r="O247" s="451"/>
      <c r="P247" s="451"/>
      <c r="Q247" s="451">
        <f>+R247+S247</f>
        <v>1046.4594</v>
      </c>
      <c r="R247" s="483">
        <f>1000-3.5406</f>
        <v>996.45939999999996</v>
      </c>
      <c r="S247" s="483">
        <v>50</v>
      </c>
      <c r="T247" s="451"/>
      <c r="U247" s="483"/>
      <c r="V247" s="483"/>
      <c r="W247" s="451"/>
      <c r="X247" s="483"/>
      <c r="Y247" s="483"/>
      <c r="Z247" s="451"/>
      <c r="AA247" s="451"/>
      <c r="AB247" s="15"/>
    </row>
    <row r="248" spans="1:31" ht="75">
      <c r="A248" s="8">
        <v>7</v>
      </c>
      <c r="B248" s="328" t="s">
        <v>485</v>
      </c>
      <c r="C248" s="8" t="s">
        <v>486</v>
      </c>
      <c r="D248" s="8"/>
      <c r="E248" s="8" t="s">
        <v>128</v>
      </c>
      <c r="F248" s="19" t="s">
        <v>54</v>
      </c>
      <c r="G248" s="445">
        <f t="shared" si="157"/>
        <v>525</v>
      </c>
      <c r="H248" s="445">
        <v>500</v>
      </c>
      <c r="I248" s="445">
        <v>25</v>
      </c>
      <c r="J248" s="451"/>
      <c r="K248" s="451">
        <f t="shared" si="164"/>
        <v>0</v>
      </c>
      <c r="L248" s="451">
        <f t="shared" si="165"/>
        <v>0</v>
      </c>
      <c r="M248" s="451">
        <f t="shared" si="166"/>
        <v>0</v>
      </c>
      <c r="N248" s="445">
        <f t="shared" si="158"/>
        <v>0</v>
      </c>
      <c r="O248" s="451"/>
      <c r="P248" s="451"/>
      <c r="Q248" s="451"/>
      <c r="R248" s="483"/>
      <c r="S248" s="483"/>
      <c r="T248" s="451"/>
      <c r="U248" s="483"/>
      <c r="V248" s="483"/>
      <c r="W248" s="451">
        <f>+X248+Y248</f>
        <v>525</v>
      </c>
      <c r="X248" s="483">
        <v>500</v>
      </c>
      <c r="Y248" s="483">
        <v>25</v>
      </c>
      <c r="Z248" s="451"/>
      <c r="AA248" s="451"/>
      <c r="AB248" s="15"/>
    </row>
    <row r="249" spans="1:31" ht="30">
      <c r="A249" s="8">
        <v>8</v>
      </c>
      <c r="B249" s="328" t="s">
        <v>487</v>
      </c>
      <c r="C249" s="8" t="s">
        <v>472</v>
      </c>
      <c r="D249" s="8"/>
      <c r="E249" s="8" t="s">
        <v>488</v>
      </c>
      <c r="F249" s="19" t="s">
        <v>54</v>
      </c>
      <c r="G249" s="445">
        <f t="shared" si="157"/>
        <v>420</v>
      </c>
      <c r="H249" s="445">
        <v>400</v>
      </c>
      <c r="I249" s="445">
        <v>20</v>
      </c>
      <c r="J249" s="451"/>
      <c r="K249" s="451">
        <f t="shared" si="164"/>
        <v>0</v>
      </c>
      <c r="L249" s="451">
        <f t="shared" si="165"/>
        <v>0</v>
      </c>
      <c r="M249" s="451">
        <f t="shared" si="166"/>
        <v>0</v>
      </c>
      <c r="N249" s="445">
        <f t="shared" si="158"/>
        <v>0</v>
      </c>
      <c r="O249" s="451"/>
      <c r="P249" s="451"/>
      <c r="Q249" s="451"/>
      <c r="R249" s="483"/>
      <c r="S249" s="483"/>
      <c r="T249" s="451"/>
      <c r="U249" s="483"/>
      <c r="V249" s="483"/>
      <c r="W249" s="451"/>
      <c r="X249" s="483"/>
      <c r="Y249" s="483"/>
      <c r="Z249" s="451"/>
      <c r="AA249" s="451"/>
      <c r="AB249" s="15"/>
    </row>
    <row r="250" spans="1:31" ht="75">
      <c r="A250" s="8">
        <v>9</v>
      </c>
      <c r="B250" s="328" t="s">
        <v>489</v>
      </c>
      <c r="C250" s="8" t="s">
        <v>472</v>
      </c>
      <c r="D250" s="8"/>
      <c r="E250" s="8" t="s">
        <v>159</v>
      </c>
      <c r="F250" s="19" t="s">
        <v>54</v>
      </c>
      <c r="G250" s="445">
        <f t="shared" si="157"/>
        <v>509.25</v>
      </c>
      <c r="H250" s="445">
        <v>485</v>
      </c>
      <c r="I250" s="445">
        <v>24.25</v>
      </c>
      <c r="J250" s="451"/>
      <c r="K250" s="451">
        <f t="shared" si="164"/>
        <v>0</v>
      </c>
      <c r="L250" s="451">
        <f t="shared" si="165"/>
        <v>0</v>
      </c>
      <c r="M250" s="451">
        <f t="shared" si="166"/>
        <v>0</v>
      </c>
      <c r="N250" s="445">
        <f t="shared" si="158"/>
        <v>0</v>
      </c>
      <c r="O250" s="451"/>
      <c r="P250" s="451"/>
      <c r="Q250" s="451"/>
      <c r="R250" s="483"/>
      <c r="S250" s="483"/>
      <c r="T250" s="451"/>
      <c r="U250" s="483"/>
      <c r="V250" s="483"/>
      <c r="W250" s="445">
        <f t="shared" ref="W250" si="168">X250+Y250</f>
        <v>509.25</v>
      </c>
      <c r="X250" s="445">
        <v>485</v>
      </c>
      <c r="Y250" s="445">
        <v>24.25</v>
      </c>
      <c r="Z250" s="451"/>
      <c r="AA250" s="451"/>
      <c r="AB250" s="15"/>
    </row>
    <row r="251" spans="1:31" ht="30">
      <c r="A251" s="8">
        <v>10</v>
      </c>
      <c r="B251" s="328" t="s">
        <v>490</v>
      </c>
      <c r="C251" s="8" t="s">
        <v>472</v>
      </c>
      <c r="D251" s="8"/>
      <c r="E251" s="8" t="s">
        <v>491</v>
      </c>
      <c r="F251" s="19" t="s">
        <v>54</v>
      </c>
      <c r="G251" s="445">
        <f t="shared" si="157"/>
        <v>525</v>
      </c>
      <c r="H251" s="445">
        <v>500</v>
      </c>
      <c r="I251" s="445">
        <v>25</v>
      </c>
      <c r="J251" s="451"/>
      <c r="K251" s="451">
        <f t="shared" si="164"/>
        <v>0</v>
      </c>
      <c r="L251" s="451">
        <f t="shared" si="165"/>
        <v>0</v>
      </c>
      <c r="M251" s="451">
        <f t="shared" si="166"/>
        <v>0</v>
      </c>
      <c r="N251" s="445">
        <f t="shared" si="158"/>
        <v>0</v>
      </c>
      <c r="O251" s="451"/>
      <c r="P251" s="451"/>
      <c r="Q251" s="451"/>
      <c r="R251" s="483"/>
      <c r="S251" s="483"/>
      <c r="T251" s="451"/>
      <c r="U251" s="483"/>
      <c r="V251" s="483"/>
      <c r="W251" s="445">
        <f t="shared" ref="W251" si="169">X251+Y251</f>
        <v>722.26160000000004</v>
      </c>
      <c r="X251" s="445">
        <v>697.26160000000004</v>
      </c>
      <c r="Y251" s="445">
        <v>25</v>
      </c>
      <c r="Z251" s="451"/>
      <c r="AA251" s="451"/>
      <c r="AB251" s="15"/>
    </row>
    <row r="252" spans="1:31" ht="30">
      <c r="A252" s="8">
        <v>11</v>
      </c>
      <c r="B252" s="328" t="s">
        <v>492</v>
      </c>
      <c r="C252" s="8" t="s">
        <v>472</v>
      </c>
      <c r="D252" s="8"/>
      <c r="E252" s="8" t="s">
        <v>493</v>
      </c>
      <c r="F252" s="19" t="s">
        <v>55</v>
      </c>
      <c r="G252" s="445">
        <f t="shared" si="157"/>
        <v>630</v>
      </c>
      <c r="H252" s="445">
        <v>600</v>
      </c>
      <c r="I252" s="445">
        <v>30</v>
      </c>
      <c r="J252" s="451"/>
      <c r="K252" s="451">
        <f t="shared" si="164"/>
        <v>0</v>
      </c>
      <c r="L252" s="451">
        <f t="shared" si="165"/>
        <v>0</v>
      </c>
      <c r="M252" s="451">
        <f t="shared" si="166"/>
        <v>0</v>
      </c>
      <c r="N252" s="445">
        <f t="shared" si="158"/>
        <v>0</v>
      </c>
      <c r="O252" s="451"/>
      <c r="P252" s="451"/>
      <c r="Q252" s="451"/>
      <c r="R252" s="483"/>
      <c r="S252" s="483"/>
      <c r="T252" s="451"/>
      <c r="U252" s="483"/>
      <c r="V252" s="483"/>
      <c r="W252" s="451"/>
      <c r="X252" s="483"/>
      <c r="Y252" s="483"/>
      <c r="Z252" s="451"/>
      <c r="AA252" s="451"/>
      <c r="AB252" s="15"/>
    </row>
    <row r="253" spans="1:31" ht="75">
      <c r="A253" s="8">
        <v>12</v>
      </c>
      <c r="B253" s="328" t="s">
        <v>494</v>
      </c>
      <c r="C253" s="8" t="s">
        <v>495</v>
      </c>
      <c r="D253" s="8"/>
      <c r="E253" s="8" t="s">
        <v>496</v>
      </c>
      <c r="F253" s="19" t="s">
        <v>55</v>
      </c>
      <c r="G253" s="445">
        <f t="shared" si="157"/>
        <v>1050</v>
      </c>
      <c r="H253" s="445">
        <v>1000</v>
      </c>
      <c r="I253" s="445">
        <v>50</v>
      </c>
      <c r="J253" s="451"/>
      <c r="K253" s="451">
        <f t="shared" si="164"/>
        <v>1155.9000000000001</v>
      </c>
      <c r="L253" s="451">
        <f t="shared" si="165"/>
        <v>1091.9000000000001</v>
      </c>
      <c r="M253" s="451">
        <f t="shared" si="166"/>
        <v>64</v>
      </c>
      <c r="N253" s="445">
        <f t="shared" si="158"/>
        <v>0</v>
      </c>
      <c r="O253" s="451"/>
      <c r="P253" s="451"/>
      <c r="Q253" s="451"/>
      <c r="R253" s="483"/>
      <c r="S253" s="483"/>
      <c r="T253" s="451">
        <f>+U253+V253</f>
        <v>1155.9000000000001</v>
      </c>
      <c r="U253" s="483">
        <v>1091.9000000000001</v>
      </c>
      <c r="V253" s="483">
        <v>64</v>
      </c>
      <c r="W253" s="451"/>
      <c r="X253" s="483"/>
      <c r="Y253" s="483"/>
      <c r="Z253" s="451"/>
      <c r="AA253" s="451"/>
      <c r="AB253" s="15"/>
    </row>
    <row r="254" spans="1:31" ht="75">
      <c r="A254" s="8">
        <v>13</v>
      </c>
      <c r="B254" s="328" t="s">
        <v>986</v>
      </c>
      <c r="C254" s="8" t="s">
        <v>498</v>
      </c>
      <c r="D254" s="8"/>
      <c r="E254" s="8" t="s">
        <v>326</v>
      </c>
      <c r="F254" s="19" t="s">
        <v>55</v>
      </c>
      <c r="G254" s="445">
        <f t="shared" si="157"/>
        <v>996.69</v>
      </c>
      <c r="H254" s="445">
        <v>949.23</v>
      </c>
      <c r="I254" s="445">
        <v>47.46</v>
      </c>
      <c r="J254" s="451"/>
      <c r="K254" s="451">
        <f t="shared" si="164"/>
        <v>0</v>
      </c>
      <c r="L254" s="451">
        <f t="shared" si="165"/>
        <v>0</v>
      </c>
      <c r="M254" s="451">
        <f t="shared" si="166"/>
        <v>0</v>
      </c>
      <c r="N254" s="445">
        <f t="shared" si="158"/>
        <v>0</v>
      </c>
      <c r="O254" s="451"/>
      <c r="P254" s="451"/>
      <c r="Q254" s="451"/>
      <c r="R254" s="483"/>
      <c r="S254" s="483"/>
      <c r="T254" s="451"/>
      <c r="U254" s="483"/>
      <c r="V254" s="483"/>
      <c r="W254" s="445">
        <f t="shared" ref="W254:W256" si="170">X254+Y254</f>
        <v>977.69</v>
      </c>
      <c r="X254" s="445">
        <v>949.23</v>
      </c>
      <c r="Y254" s="445">
        <v>28.46</v>
      </c>
      <c r="Z254" s="451"/>
      <c r="AA254" s="451"/>
      <c r="AB254" s="15"/>
    </row>
    <row r="255" spans="1:31" ht="30">
      <c r="A255" s="8"/>
      <c r="B255" s="328" t="s">
        <v>1158</v>
      </c>
      <c r="C255" s="8" t="s">
        <v>478</v>
      </c>
      <c r="D255" s="8"/>
      <c r="E255" s="8"/>
      <c r="F255" s="19"/>
      <c r="G255" s="445"/>
      <c r="H255" s="445"/>
      <c r="I255" s="445"/>
      <c r="J255" s="451"/>
      <c r="K255" s="451"/>
      <c r="L255" s="451"/>
      <c r="M255" s="451"/>
      <c r="N255" s="445"/>
      <c r="O255" s="451"/>
      <c r="P255" s="451"/>
      <c r="Q255" s="451"/>
      <c r="R255" s="483"/>
      <c r="S255" s="483"/>
      <c r="T255" s="451"/>
      <c r="U255" s="483"/>
      <c r="V255" s="483"/>
      <c r="W255" s="445"/>
      <c r="X255" s="445"/>
      <c r="Y255" s="445"/>
      <c r="Z255" s="451"/>
      <c r="AA255" s="451"/>
      <c r="AB255" s="15"/>
    </row>
    <row r="256" spans="1:31" ht="45">
      <c r="A256" s="8"/>
      <c r="B256" s="328" t="s">
        <v>1159</v>
      </c>
      <c r="C256" s="8" t="s">
        <v>1160</v>
      </c>
      <c r="D256" s="8"/>
      <c r="E256" s="8"/>
      <c r="F256" s="19"/>
      <c r="G256" s="445"/>
      <c r="H256" s="445"/>
      <c r="I256" s="445"/>
      <c r="J256" s="451"/>
      <c r="K256" s="451"/>
      <c r="L256" s="451"/>
      <c r="M256" s="451"/>
      <c r="N256" s="445"/>
      <c r="O256" s="451"/>
      <c r="P256" s="451"/>
      <c r="Q256" s="451"/>
      <c r="R256" s="483"/>
      <c r="S256" s="483"/>
      <c r="T256" s="451"/>
      <c r="U256" s="483"/>
      <c r="V256" s="483"/>
      <c r="W256" s="445">
        <f t="shared" si="170"/>
        <v>630</v>
      </c>
      <c r="X256" s="445">
        <v>600</v>
      </c>
      <c r="Y256" s="445">
        <v>30</v>
      </c>
      <c r="Z256" s="451"/>
      <c r="AA256" s="451"/>
      <c r="AB256" s="15"/>
    </row>
    <row r="257" spans="1:31" s="14" customFormat="1" ht="23.25" customHeight="1">
      <c r="A257" s="4" t="s">
        <v>1003</v>
      </c>
      <c r="B257" s="507" t="s">
        <v>500</v>
      </c>
      <c r="C257" s="418"/>
      <c r="D257" s="418"/>
      <c r="E257" s="417">
        <v>0</v>
      </c>
      <c r="F257" s="417"/>
      <c r="G257" s="446">
        <f>SUM(G258:G289)</f>
        <v>11087.65</v>
      </c>
      <c r="H257" s="446">
        <f t="shared" ref="H257:AA257" si="171">SUM(H258:H289)</f>
        <v>10562.25</v>
      </c>
      <c r="I257" s="446">
        <f t="shared" si="171"/>
        <v>525.4</v>
      </c>
      <c r="J257" s="446">
        <f t="shared" si="171"/>
        <v>0</v>
      </c>
      <c r="K257" s="446">
        <f t="shared" si="171"/>
        <v>7403.64</v>
      </c>
      <c r="L257" s="446">
        <f t="shared" si="171"/>
        <v>7022.44</v>
      </c>
      <c r="M257" s="446">
        <f t="shared" si="171"/>
        <v>381.2</v>
      </c>
      <c r="N257" s="446">
        <f t="shared" si="171"/>
        <v>1995</v>
      </c>
      <c r="O257" s="446">
        <f t="shared" si="171"/>
        <v>1901</v>
      </c>
      <c r="P257" s="446">
        <f t="shared" si="171"/>
        <v>94</v>
      </c>
      <c r="Q257" s="446">
        <f t="shared" si="171"/>
        <v>2686.14</v>
      </c>
      <c r="R257" s="446">
        <f t="shared" si="171"/>
        <v>2548.54</v>
      </c>
      <c r="S257" s="446">
        <f t="shared" si="171"/>
        <v>137.6</v>
      </c>
      <c r="T257" s="446">
        <f t="shared" si="171"/>
        <v>2722.5</v>
      </c>
      <c r="U257" s="446">
        <f t="shared" si="171"/>
        <v>2572.9</v>
      </c>
      <c r="V257" s="446">
        <f t="shared" si="171"/>
        <v>149.60000000000002</v>
      </c>
      <c r="W257" s="446">
        <f t="shared" si="171"/>
        <v>3684.0099999999998</v>
      </c>
      <c r="X257" s="446">
        <f t="shared" si="171"/>
        <v>3539.81</v>
      </c>
      <c r="Y257" s="446">
        <f t="shared" si="171"/>
        <v>144.20000000000002</v>
      </c>
      <c r="Z257" s="446"/>
      <c r="AA257" s="446">
        <f t="shared" si="171"/>
        <v>0</v>
      </c>
      <c r="AB257" s="16"/>
      <c r="AC257" s="368">
        <f>+'NĂM 2022'!K78+'NĂM 2023'!N98+'NĂM 2024'!J90+'NĂM 2025'!J86</f>
        <v>11087.65</v>
      </c>
      <c r="AD257" s="368">
        <f>+'NĂM 2022'!L78+'NĂM 2023'!O98+'NĂM 2024'!K90+'NĂM 2025'!K86</f>
        <v>10562.25</v>
      </c>
      <c r="AE257" s="368">
        <f>+'NĂM 2022'!M78+'NĂM 2023'!P98+'NĂM 2024'!L90+'NĂM 2025'!L86</f>
        <v>525.4</v>
      </c>
    </row>
    <row r="258" spans="1:31" ht="75" hidden="1">
      <c r="A258" s="8">
        <v>1</v>
      </c>
      <c r="B258" s="328" t="s">
        <v>501</v>
      </c>
      <c r="C258" s="8" t="s">
        <v>502</v>
      </c>
      <c r="D258" s="8"/>
      <c r="E258" s="8" t="s">
        <v>94</v>
      </c>
      <c r="F258" s="8" t="s">
        <v>52</v>
      </c>
      <c r="G258" s="505">
        <f>H258+I258</f>
        <v>430.5</v>
      </c>
      <c r="H258" s="505">
        <v>410</v>
      </c>
      <c r="I258" s="505">
        <v>20.5</v>
      </c>
      <c r="J258" s="511">
        <v>0</v>
      </c>
      <c r="K258" s="511">
        <f>+L258+M258</f>
        <v>430.5</v>
      </c>
      <c r="L258" s="511">
        <f>+O258+R258+U258</f>
        <v>410</v>
      </c>
      <c r="M258" s="511">
        <f>+P258+S258+V258</f>
        <v>20.5</v>
      </c>
      <c r="N258" s="505">
        <f>O258+P258</f>
        <v>430.5</v>
      </c>
      <c r="O258" s="505">
        <v>410</v>
      </c>
      <c r="P258" s="505">
        <v>20.5</v>
      </c>
      <c r="Q258" s="505"/>
      <c r="R258" s="505"/>
      <c r="S258" s="505"/>
      <c r="T258" s="505"/>
      <c r="U258" s="505"/>
      <c r="V258" s="505"/>
      <c r="W258" s="505"/>
      <c r="X258" s="505"/>
      <c r="Y258" s="505"/>
      <c r="Z258" s="505"/>
      <c r="AA258" s="451"/>
      <c r="AB258" s="15"/>
      <c r="AC258" s="506">
        <f>+G257-K257</f>
        <v>3684.0099999999993</v>
      </c>
      <c r="AD258" s="506">
        <f>+H257-L257</f>
        <v>3539.8100000000004</v>
      </c>
      <c r="AE258" s="506">
        <f>+I257-M257</f>
        <v>144.19999999999999</v>
      </c>
    </row>
    <row r="259" spans="1:31" ht="75" hidden="1">
      <c r="A259" s="8">
        <v>2</v>
      </c>
      <c r="B259" s="328" t="s">
        <v>503</v>
      </c>
      <c r="C259" s="8" t="s">
        <v>504</v>
      </c>
      <c r="D259" s="8"/>
      <c r="E259" s="8" t="s">
        <v>94</v>
      </c>
      <c r="F259" s="8" t="s">
        <v>52</v>
      </c>
      <c r="G259" s="505">
        <f>H259+I259</f>
        <v>430.5</v>
      </c>
      <c r="H259" s="505">
        <v>410</v>
      </c>
      <c r="I259" s="505">
        <v>20.5</v>
      </c>
      <c r="J259" s="511">
        <v>0</v>
      </c>
      <c r="K259" s="511">
        <f t="shared" ref="K259:K289" si="172">+L259+M259</f>
        <v>430.5</v>
      </c>
      <c r="L259" s="511">
        <f t="shared" ref="L259:L289" si="173">+O259+R259+U259</f>
        <v>410</v>
      </c>
      <c r="M259" s="511">
        <f t="shared" ref="M259:M289" si="174">+P259+S259+V259</f>
        <v>20.5</v>
      </c>
      <c r="N259" s="505">
        <f>O259+P259</f>
        <v>430.5</v>
      </c>
      <c r="O259" s="505">
        <v>410</v>
      </c>
      <c r="P259" s="505">
        <v>20.5</v>
      </c>
      <c r="Q259" s="505"/>
      <c r="R259" s="505"/>
      <c r="S259" s="505"/>
      <c r="T259" s="505"/>
      <c r="U259" s="505"/>
      <c r="V259" s="505"/>
      <c r="W259" s="505"/>
      <c r="X259" s="505"/>
      <c r="Y259" s="505"/>
      <c r="Z259" s="505"/>
      <c r="AA259" s="451"/>
      <c r="AB259" s="15"/>
      <c r="AC259" s="506">
        <f>+AC258-W257</f>
        <v>0</v>
      </c>
      <c r="AD259" s="506">
        <f t="shared" ref="AD259:AE259" si="175">+AD258-X257</f>
        <v>0</v>
      </c>
      <c r="AE259" s="506">
        <f t="shared" si="175"/>
        <v>0</v>
      </c>
    </row>
    <row r="260" spans="1:31" ht="75" hidden="1">
      <c r="A260" s="8">
        <v>3</v>
      </c>
      <c r="B260" s="328" t="s">
        <v>505</v>
      </c>
      <c r="C260" s="8" t="s">
        <v>506</v>
      </c>
      <c r="D260" s="8"/>
      <c r="E260" s="8" t="s">
        <v>94</v>
      </c>
      <c r="F260" s="8" t="s">
        <v>52</v>
      </c>
      <c r="G260" s="505">
        <f t="shared" si="157"/>
        <v>430.5</v>
      </c>
      <c r="H260" s="505">
        <v>410</v>
      </c>
      <c r="I260" s="505">
        <v>20.5</v>
      </c>
      <c r="J260" s="511">
        <v>0</v>
      </c>
      <c r="K260" s="511">
        <f t="shared" si="172"/>
        <v>430.5</v>
      </c>
      <c r="L260" s="511">
        <f t="shared" si="173"/>
        <v>410</v>
      </c>
      <c r="M260" s="511">
        <f t="shared" si="174"/>
        <v>20.5</v>
      </c>
      <c r="N260" s="505">
        <f>O260+P260</f>
        <v>430.5</v>
      </c>
      <c r="O260" s="505">
        <v>410</v>
      </c>
      <c r="P260" s="505">
        <v>20.5</v>
      </c>
      <c r="Q260" s="505"/>
      <c r="R260" s="505"/>
      <c r="S260" s="505"/>
      <c r="T260" s="505"/>
      <c r="U260" s="505"/>
      <c r="V260" s="505"/>
      <c r="W260" s="505"/>
      <c r="X260" s="505"/>
      <c r="Y260" s="505"/>
      <c r="Z260" s="505"/>
      <c r="AA260" s="451"/>
      <c r="AB260" s="15"/>
    </row>
    <row r="261" spans="1:31" ht="75" hidden="1">
      <c r="A261" s="8">
        <v>4</v>
      </c>
      <c r="B261" s="376" t="s">
        <v>817</v>
      </c>
      <c r="C261" s="8" t="s">
        <v>507</v>
      </c>
      <c r="D261" s="8"/>
      <c r="E261" s="8" t="s">
        <v>159</v>
      </c>
      <c r="F261" s="8" t="s">
        <v>52</v>
      </c>
      <c r="G261" s="505">
        <f>H261+I261</f>
        <v>100.7</v>
      </c>
      <c r="H261" s="505">
        <v>96</v>
      </c>
      <c r="I261" s="505">
        <v>4.7</v>
      </c>
      <c r="J261" s="511">
        <v>0</v>
      </c>
      <c r="K261" s="511">
        <f t="shared" si="172"/>
        <v>100.7</v>
      </c>
      <c r="L261" s="511">
        <f t="shared" si="173"/>
        <v>96</v>
      </c>
      <c r="M261" s="511">
        <f t="shared" si="174"/>
        <v>4.7</v>
      </c>
      <c r="N261" s="505">
        <f t="shared" si="158"/>
        <v>100.7</v>
      </c>
      <c r="O261" s="505">
        <v>96</v>
      </c>
      <c r="P261" s="505">
        <v>4.7</v>
      </c>
      <c r="Q261" s="505"/>
      <c r="R261" s="505"/>
      <c r="S261" s="505"/>
      <c r="T261" s="505"/>
      <c r="U261" s="505"/>
      <c r="V261" s="505"/>
      <c r="W261" s="505"/>
      <c r="X261" s="505"/>
      <c r="Y261" s="505"/>
      <c r="Z261" s="505"/>
      <c r="AA261" s="451"/>
      <c r="AB261" s="15"/>
    </row>
    <row r="262" spans="1:31" ht="75" hidden="1">
      <c r="A262" s="8">
        <v>5</v>
      </c>
      <c r="B262" s="328" t="s">
        <v>508</v>
      </c>
      <c r="C262" s="8" t="s">
        <v>509</v>
      </c>
      <c r="D262" s="8"/>
      <c r="E262" s="8" t="s">
        <v>510</v>
      </c>
      <c r="F262" s="8" t="s">
        <v>52</v>
      </c>
      <c r="G262" s="505">
        <f>H262+I262</f>
        <v>503</v>
      </c>
      <c r="H262" s="505">
        <v>480</v>
      </c>
      <c r="I262" s="505">
        <v>23</v>
      </c>
      <c r="J262" s="511">
        <v>0</v>
      </c>
      <c r="K262" s="511">
        <f t="shared" si="172"/>
        <v>503</v>
      </c>
      <c r="L262" s="511">
        <f t="shared" si="173"/>
        <v>480</v>
      </c>
      <c r="M262" s="511">
        <f t="shared" si="174"/>
        <v>23</v>
      </c>
      <c r="N262" s="505">
        <f>O262+P262</f>
        <v>503</v>
      </c>
      <c r="O262" s="505">
        <v>480</v>
      </c>
      <c r="P262" s="505">
        <v>23</v>
      </c>
      <c r="Q262" s="505"/>
      <c r="R262" s="505"/>
      <c r="S262" s="505"/>
      <c r="T262" s="505"/>
      <c r="U262" s="505"/>
      <c r="V262" s="505"/>
      <c r="W262" s="505"/>
      <c r="X262" s="505"/>
      <c r="Y262" s="505"/>
      <c r="Z262" s="505"/>
      <c r="AA262" s="451"/>
      <c r="AB262" s="15"/>
    </row>
    <row r="263" spans="1:31" ht="75" hidden="1">
      <c r="A263" s="8">
        <v>6</v>
      </c>
      <c r="B263" s="376" t="s">
        <v>818</v>
      </c>
      <c r="C263" s="8" t="s">
        <v>511</v>
      </c>
      <c r="D263" s="8"/>
      <c r="E263" s="8" t="s">
        <v>159</v>
      </c>
      <c r="F263" s="8" t="s">
        <v>52</v>
      </c>
      <c r="G263" s="505">
        <f>H263+I263</f>
        <v>99.8</v>
      </c>
      <c r="H263" s="505">
        <v>95</v>
      </c>
      <c r="I263" s="505">
        <v>4.8</v>
      </c>
      <c r="J263" s="511">
        <v>0</v>
      </c>
      <c r="K263" s="511">
        <f t="shared" si="172"/>
        <v>99.8</v>
      </c>
      <c r="L263" s="511">
        <f t="shared" si="173"/>
        <v>95</v>
      </c>
      <c r="M263" s="511">
        <f t="shared" si="174"/>
        <v>4.8</v>
      </c>
      <c r="N263" s="505">
        <f>O263+P263</f>
        <v>99.8</v>
      </c>
      <c r="O263" s="505">
        <v>95</v>
      </c>
      <c r="P263" s="505">
        <v>4.8</v>
      </c>
      <c r="Q263" s="505"/>
      <c r="R263" s="505"/>
      <c r="S263" s="505"/>
      <c r="T263" s="505"/>
      <c r="U263" s="505"/>
      <c r="V263" s="505"/>
      <c r="W263" s="505"/>
      <c r="X263" s="505"/>
      <c r="Y263" s="505"/>
      <c r="Z263" s="505"/>
      <c r="AA263" s="451"/>
      <c r="AB263" s="15"/>
    </row>
    <row r="264" spans="1:31" ht="75" hidden="1">
      <c r="A264" s="8">
        <v>7</v>
      </c>
      <c r="B264" s="328" t="s">
        <v>512</v>
      </c>
      <c r="C264" s="8" t="s">
        <v>513</v>
      </c>
      <c r="D264" s="8"/>
      <c r="E264" s="8" t="s">
        <v>94</v>
      </c>
      <c r="F264" s="8" t="s">
        <v>53</v>
      </c>
      <c r="G264" s="505">
        <f t="shared" si="157"/>
        <v>483</v>
      </c>
      <c r="H264" s="505">
        <v>460</v>
      </c>
      <c r="I264" s="505">
        <v>23</v>
      </c>
      <c r="J264" s="451">
        <v>0</v>
      </c>
      <c r="K264" s="511">
        <f t="shared" si="172"/>
        <v>527</v>
      </c>
      <c r="L264" s="511">
        <f t="shared" si="173"/>
        <v>500</v>
      </c>
      <c r="M264" s="511">
        <f t="shared" si="174"/>
        <v>27</v>
      </c>
      <c r="N264" s="445">
        <f t="shared" si="158"/>
        <v>0</v>
      </c>
      <c r="O264" s="451"/>
      <c r="P264" s="451"/>
      <c r="Q264" s="451">
        <f>+R264+S264</f>
        <v>527</v>
      </c>
      <c r="R264" s="451">
        <v>500</v>
      </c>
      <c r="S264" s="451">
        <v>27</v>
      </c>
      <c r="T264" s="451"/>
      <c r="U264" s="451"/>
      <c r="V264" s="451"/>
      <c r="W264" s="451"/>
      <c r="X264" s="451"/>
      <c r="Y264" s="451"/>
      <c r="Z264" s="451"/>
      <c r="AA264" s="451"/>
      <c r="AB264" s="15"/>
    </row>
    <row r="265" spans="1:31" ht="75" hidden="1">
      <c r="A265" s="8">
        <v>8</v>
      </c>
      <c r="B265" s="328" t="s">
        <v>514</v>
      </c>
      <c r="C265" s="8" t="s">
        <v>515</v>
      </c>
      <c r="D265" s="8"/>
      <c r="E265" s="8" t="s">
        <v>286</v>
      </c>
      <c r="F265" s="8" t="s">
        <v>53</v>
      </c>
      <c r="G265" s="505">
        <f>H265+I265</f>
        <v>483</v>
      </c>
      <c r="H265" s="505">
        <v>460</v>
      </c>
      <c r="I265" s="505">
        <v>23</v>
      </c>
      <c r="J265" s="451">
        <v>0</v>
      </c>
      <c r="K265" s="511">
        <f t="shared" si="172"/>
        <v>527</v>
      </c>
      <c r="L265" s="511">
        <f t="shared" si="173"/>
        <v>500</v>
      </c>
      <c r="M265" s="511">
        <f t="shared" si="174"/>
        <v>27</v>
      </c>
      <c r="N265" s="445">
        <f t="shared" si="158"/>
        <v>0</v>
      </c>
      <c r="O265" s="451"/>
      <c r="P265" s="451"/>
      <c r="Q265" s="451">
        <f>+R265+S265</f>
        <v>527</v>
      </c>
      <c r="R265" s="451">
        <v>500</v>
      </c>
      <c r="S265" s="451">
        <v>27</v>
      </c>
      <c r="T265" s="451"/>
      <c r="U265" s="451"/>
      <c r="V265" s="451"/>
      <c r="W265" s="451"/>
      <c r="X265" s="451"/>
      <c r="Y265" s="451"/>
      <c r="Z265" s="451"/>
      <c r="AA265" s="451"/>
      <c r="AB265" s="15"/>
    </row>
    <row r="266" spans="1:31" ht="75" hidden="1">
      <c r="A266" s="8">
        <v>9</v>
      </c>
      <c r="B266" s="328" t="s">
        <v>516</v>
      </c>
      <c r="C266" s="8" t="s">
        <v>511</v>
      </c>
      <c r="D266" s="8"/>
      <c r="E266" s="8" t="s">
        <v>94</v>
      </c>
      <c r="F266" s="8" t="s">
        <v>53</v>
      </c>
      <c r="G266" s="505">
        <f t="shared" si="157"/>
        <v>430.5</v>
      </c>
      <c r="H266" s="505">
        <v>410</v>
      </c>
      <c r="I266" s="505">
        <v>20.5</v>
      </c>
      <c r="J266" s="451">
        <v>0</v>
      </c>
      <c r="K266" s="511">
        <f t="shared" si="172"/>
        <v>518.4</v>
      </c>
      <c r="L266" s="511">
        <f t="shared" si="173"/>
        <v>490</v>
      </c>
      <c r="M266" s="511">
        <f t="shared" si="174"/>
        <v>28.4</v>
      </c>
      <c r="N266" s="445">
        <f t="shared" si="158"/>
        <v>0</v>
      </c>
      <c r="O266" s="451"/>
      <c r="P266" s="451"/>
      <c r="Q266" s="451"/>
      <c r="R266" s="451"/>
      <c r="S266" s="451"/>
      <c r="T266" s="451">
        <f>+U266+V266</f>
        <v>518.4</v>
      </c>
      <c r="U266" s="451">
        <v>490</v>
      </c>
      <c r="V266" s="451">
        <v>28.4</v>
      </c>
      <c r="W266" s="451"/>
      <c r="X266" s="451"/>
      <c r="Y266" s="451"/>
      <c r="Z266" s="451"/>
      <c r="AA266" s="451"/>
      <c r="AB266" s="15"/>
    </row>
    <row r="267" spans="1:31" ht="75" hidden="1">
      <c r="A267" s="8">
        <v>10</v>
      </c>
      <c r="B267" s="328" t="s">
        <v>809</v>
      </c>
      <c r="C267" s="8" t="s">
        <v>334</v>
      </c>
      <c r="D267" s="8"/>
      <c r="E267" s="8" t="s">
        <v>94</v>
      </c>
      <c r="F267" s="8" t="s">
        <v>53</v>
      </c>
      <c r="G267" s="505">
        <f t="shared" si="157"/>
        <v>430.5</v>
      </c>
      <c r="H267" s="505">
        <v>410</v>
      </c>
      <c r="I267" s="505">
        <v>20.5</v>
      </c>
      <c r="J267" s="451">
        <v>0</v>
      </c>
      <c r="K267" s="511">
        <f t="shared" si="172"/>
        <v>474</v>
      </c>
      <c r="L267" s="511">
        <f t="shared" si="173"/>
        <v>450</v>
      </c>
      <c r="M267" s="511">
        <f t="shared" si="174"/>
        <v>24</v>
      </c>
      <c r="N267" s="445">
        <f t="shared" si="158"/>
        <v>0</v>
      </c>
      <c r="O267" s="451"/>
      <c r="P267" s="451"/>
      <c r="Q267" s="451">
        <f>+R267+S267</f>
        <v>474</v>
      </c>
      <c r="R267" s="451">
        <v>450</v>
      </c>
      <c r="S267" s="451">
        <v>24</v>
      </c>
      <c r="T267" s="451"/>
      <c r="U267" s="451"/>
      <c r="V267" s="451"/>
      <c r="W267" s="451"/>
      <c r="X267" s="451"/>
      <c r="Y267" s="451"/>
      <c r="Z267" s="451"/>
      <c r="AA267" s="451"/>
      <c r="AB267" s="15"/>
    </row>
    <row r="268" spans="1:31" ht="75" hidden="1">
      <c r="A268" s="8">
        <v>11</v>
      </c>
      <c r="B268" s="376" t="s">
        <v>819</v>
      </c>
      <c r="C268" s="375" t="s">
        <v>334</v>
      </c>
      <c r="D268" s="8"/>
      <c r="E268" s="8" t="s">
        <v>159</v>
      </c>
      <c r="F268" s="8" t="s">
        <v>53</v>
      </c>
      <c r="G268" s="505">
        <f t="shared" si="157"/>
        <v>420</v>
      </c>
      <c r="H268" s="505">
        <v>400</v>
      </c>
      <c r="I268" s="505">
        <v>20</v>
      </c>
      <c r="J268" s="451">
        <v>0</v>
      </c>
      <c r="K268" s="511">
        <f t="shared" si="172"/>
        <v>211</v>
      </c>
      <c r="L268" s="511">
        <f t="shared" si="173"/>
        <v>200</v>
      </c>
      <c r="M268" s="511">
        <f t="shared" si="174"/>
        <v>11</v>
      </c>
      <c r="N268" s="445">
        <f t="shared" si="158"/>
        <v>0</v>
      </c>
      <c r="O268" s="451"/>
      <c r="P268" s="451"/>
      <c r="Q268" s="451">
        <f>+R268+S268</f>
        <v>211</v>
      </c>
      <c r="R268" s="451">
        <v>200</v>
      </c>
      <c r="S268" s="451">
        <v>11</v>
      </c>
      <c r="T268" s="451"/>
      <c r="U268" s="451"/>
      <c r="V268" s="451"/>
      <c r="W268" s="451"/>
      <c r="X268" s="451"/>
      <c r="Y268" s="451"/>
      <c r="Z268" s="451"/>
      <c r="AA268" s="451"/>
      <c r="AB268" s="15"/>
    </row>
    <row r="269" spans="1:31" ht="75" hidden="1">
      <c r="A269" s="443">
        <v>12</v>
      </c>
      <c r="B269" s="376" t="s">
        <v>820</v>
      </c>
      <c r="C269" s="8" t="s">
        <v>511</v>
      </c>
      <c r="D269" s="8"/>
      <c r="E269" s="8" t="s">
        <v>159</v>
      </c>
      <c r="F269" s="8" t="s">
        <v>53</v>
      </c>
      <c r="G269" s="505">
        <f t="shared" si="157"/>
        <v>420</v>
      </c>
      <c r="H269" s="505">
        <v>400</v>
      </c>
      <c r="I269" s="505">
        <v>20</v>
      </c>
      <c r="J269" s="451">
        <v>0</v>
      </c>
      <c r="K269" s="511">
        <f t="shared" si="172"/>
        <v>315.14000000000004</v>
      </c>
      <c r="L269" s="511">
        <f t="shared" si="173"/>
        <v>298.54000000000002</v>
      </c>
      <c r="M269" s="511">
        <f t="shared" si="174"/>
        <v>16.600000000000001</v>
      </c>
      <c r="N269" s="445">
        <f t="shared" si="158"/>
        <v>0</v>
      </c>
      <c r="O269" s="451"/>
      <c r="P269" s="451"/>
      <c r="Q269" s="451">
        <f>+R269+S269</f>
        <v>315.14000000000004</v>
      </c>
      <c r="R269" s="451">
        <v>298.54000000000002</v>
      </c>
      <c r="S269" s="451">
        <v>16.600000000000001</v>
      </c>
      <c r="T269" s="451"/>
      <c r="U269" s="451"/>
      <c r="V269" s="451"/>
      <c r="W269" s="451"/>
      <c r="X269" s="451"/>
      <c r="Y269" s="451"/>
      <c r="Z269" s="451"/>
      <c r="AA269" s="451"/>
      <c r="AB269" s="15"/>
    </row>
    <row r="270" spans="1:31" ht="75" hidden="1">
      <c r="A270" s="8">
        <v>13</v>
      </c>
      <c r="B270" s="328" t="s">
        <v>517</v>
      </c>
      <c r="C270" s="8" t="s">
        <v>506</v>
      </c>
      <c r="D270" s="8"/>
      <c r="E270" s="8" t="s">
        <v>159</v>
      </c>
      <c r="F270" s="8" t="s">
        <v>53</v>
      </c>
      <c r="G270" s="505">
        <f t="shared" si="157"/>
        <v>420</v>
      </c>
      <c r="H270" s="505">
        <v>400</v>
      </c>
      <c r="I270" s="505">
        <v>20</v>
      </c>
      <c r="J270" s="451">
        <v>0</v>
      </c>
      <c r="K270" s="511">
        <f t="shared" si="172"/>
        <v>632</v>
      </c>
      <c r="L270" s="511">
        <f t="shared" si="173"/>
        <v>600</v>
      </c>
      <c r="M270" s="511">
        <f t="shared" si="174"/>
        <v>32</v>
      </c>
      <c r="N270" s="445">
        <f t="shared" si="158"/>
        <v>0</v>
      </c>
      <c r="O270" s="451"/>
      <c r="P270" s="451"/>
      <c r="Q270" s="451">
        <f>+R270+S270</f>
        <v>632</v>
      </c>
      <c r="R270" s="451">
        <v>600</v>
      </c>
      <c r="S270" s="451">
        <v>32</v>
      </c>
      <c r="T270" s="451"/>
      <c r="U270" s="451"/>
      <c r="V270" s="451"/>
      <c r="W270" s="451"/>
      <c r="X270" s="451"/>
      <c r="Y270" s="451"/>
      <c r="Z270" s="451"/>
      <c r="AA270" s="451"/>
      <c r="AB270" s="15"/>
    </row>
    <row r="271" spans="1:31" ht="30" hidden="1">
      <c r="A271" s="8">
        <v>14</v>
      </c>
      <c r="B271" s="328" t="s">
        <v>518</v>
      </c>
      <c r="C271" s="8" t="s">
        <v>502</v>
      </c>
      <c r="D271" s="8"/>
      <c r="E271" s="8" t="s">
        <v>519</v>
      </c>
      <c r="F271" s="8" t="s">
        <v>53</v>
      </c>
      <c r="G271" s="505">
        <f t="shared" si="157"/>
        <v>157.5</v>
      </c>
      <c r="H271" s="505">
        <v>150</v>
      </c>
      <c r="I271" s="505">
        <v>7.5</v>
      </c>
      <c r="J271" s="451">
        <v>0</v>
      </c>
      <c r="K271" s="511">
        <f t="shared" si="172"/>
        <v>0</v>
      </c>
      <c r="L271" s="511">
        <f t="shared" si="173"/>
        <v>0</v>
      </c>
      <c r="M271" s="511">
        <f t="shared" si="174"/>
        <v>0</v>
      </c>
      <c r="N271" s="445">
        <f t="shared" si="158"/>
        <v>0</v>
      </c>
      <c r="O271" s="451"/>
      <c r="P271" s="451"/>
      <c r="Q271" s="451"/>
      <c r="R271" s="451"/>
      <c r="S271" s="451"/>
      <c r="T271" s="451"/>
      <c r="U271" s="451"/>
      <c r="V271" s="451"/>
      <c r="W271" s="451">
        <f>+X271+Y271</f>
        <v>124.89</v>
      </c>
      <c r="X271" s="451">
        <v>120</v>
      </c>
      <c r="Y271" s="451">
        <v>4.8899999999999997</v>
      </c>
      <c r="Z271" s="451"/>
      <c r="AA271" s="451"/>
      <c r="AB271" s="15"/>
    </row>
    <row r="272" spans="1:31" ht="30" hidden="1">
      <c r="A272" s="8">
        <v>15</v>
      </c>
      <c r="B272" s="512" t="s">
        <v>520</v>
      </c>
      <c r="C272" s="8" t="s">
        <v>502</v>
      </c>
      <c r="D272" s="8"/>
      <c r="E272" s="8" t="s">
        <v>521</v>
      </c>
      <c r="F272" s="8" t="s">
        <v>53</v>
      </c>
      <c r="G272" s="445">
        <f t="shared" si="157"/>
        <v>210</v>
      </c>
      <c r="H272" s="445">
        <v>200</v>
      </c>
      <c r="I272" s="445">
        <v>10</v>
      </c>
      <c r="J272" s="451">
        <v>0</v>
      </c>
      <c r="K272" s="511">
        <f t="shared" si="172"/>
        <v>0</v>
      </c>
      <c r="L272" s="511">
        <f t="shared" si="173"/>
        <v>0</v>
      </c>
      <c r="M272" s="511">
        <f t="shared" si="174"/>
        <v>0</v>
      </c>
      <c r="N272" s="445">
        <f t="shared" si="158"/>
        <v>0</v>
      </c>
      <c r="O272" s="451"/>
      <c r="P272" s="451"/>
      <c r="Q272" s="451"/>
      <c r="R272" s="451"/>
      <c r="S272" s="451"/>
      <c r="T272" s="451"/>
      <c r="U272" s="451"/>
      <c r="V272" s="451"/>
      <c r="W272" s="451"/>
      <c r="X272" s="451"/>
      <c r="Y272" s="451"/>
      <c r="Z272" s="451"/>
      <c r="AA272" s="451"/>
      <c r="AB272" s="15"/>
    </row>
    <row r="273" spans="1:28" ht="30" hidden="1">
      <c r="A273" s="8">
        <v>16</v>
      </c>
      <c r="B273" s="512" t="s">
        <v>522</v>
      </c>
      <c r="C273" s="8" t="s">
        <v>515</v>
      </c>
      <c r="D273" s="8"/>
      <c r="E273" s="8" t="s">
        <v>523</v>
      </c>
      <c r="F273" s="8" t="s">
        <v>53</v>
      </c>
      <c r="G273" s="505">
        <f t="shared" si="157"/>
        <v>52.5</v>
      </c>
      <c r="H273" s="505">
        <v>50</v>
      </c>
      <c r="I273" s="505">
        <v>2.5</v>
      </c>
      <c r="J273" s="451">
        <v>0</v>
      </c>
      <c r="K273" s="511">
        <f t="shared" si="172"/>
        <v>0</v>
      </c>
      <c r="L273" s="511">
        <f t="shared" si="173"/>
        <v>0</v>
      </c>
      <c r="M273" s="511">
        <f t="shared" si="174"/>
        <v>0</v>
      </c>
      <c r="N273" s="445">
        <f t="shared" si="158"/>
        <v>0</v>
      </c>
      <c r="O273" s="451"/>
      <c r="P273" s="451"/>
      <c r="Q273" s="451"/>
      <c r="R273" s="451"/>
      <c r="S273" s="451"/>
      <c r="T273" s="451"/>
      <c r="U273" s="451"/>
      <c r="V273" s="451"/>
      <c r="W273" s="451"/>
      <c r="X273" s="451"/>
      <c r="Y273" s="451"/>
      <c r="Z273" s="451"/>
      <c r="AA273" s="451"/>
      <c r="AB273" s="15"/>
    </row>
    <row r="274" spans="1:28" ht="30" hidden="1">
      <c r="A274" s="8">
        <v>17</v>
      </c>
      <c r="B274" s="328" t="s">
        <v>524</v>
      </c>
      <c r="C274" s="8" t="s">
        <v>513</v>
      </c>
      <c r="D274" s="8"/>
      <c r="E274" s="8" t="s">
        <v>525</v>
      </c>
      <c r="F274" s="8" t="s">
        <v>53</v>
      </c>
      <c r="G274" s="445">
        <f t="shared" si="157"/>
        <v>210</v>
      </c>
      <c r="H274" s="445">
        <v>200</v>
      </c>
      <c r="I274" s="445">
        <v>10</v>
      </c>
      <c r="J274" s="451">
        <v>0</v>
      </c>
      <c r="K274" s="511">
        <f t="shared" si="172"/>
        <v>477</v>
      </c>
      <c r="L274" s="511">
        <f t="shared" si="173"/>
        <v>450</v>
      </c>
      <c r="M274" s="511">
        <f t="shared" si="174"/>
        <v>27</v>
      </c>
      <c r="N274" s="445">
        <f t="shared" si="158"/>
        <v>0</v>
      </c>
      <c r="O274" s="451"/>
      <c r="P274" s="451"/>
      <c r="Q274" s="451"/>
      <c r="R274" s="451"/>
      <c r="S274" s="451"/>
      <c r="T274" s="451">
        <f>+U274+V274</f>
        <v>477</v>
      </c>
      <c r="U274" s="451">
        <v>450</v>
      </c>
      <c r="V274" s="451">
        <v>27</v>
      </c>
      <c r="W274" s="451"/>
      <c r="X274" s="451"/>
      <c r="Y274" s="451"/>
      <c r="Z274" s="451"/>
      <c r="AA274" s="451"/>
      <c r="AB274" s="15"/>
    </row>
    <row r="275" spans="1:28" ht="75" hidden="1">
      <c r="A275" s="8">
        <v>18</v>
      </c>
      <c r="B275" s="376" t="s">
        <v>821</v>
      </c>
      <c r="C275" s="375" t="s">
        <v>334</v>
      </c>
      <c r="D275" s="8"/>
      <c r="E275" s="8" t="s">
        <v>159</v>
      </c>
      <c r="F275" s="8" t="s">
        <v>54</v>
      </c>
      <c r="G275" s="505">
        <f>H275+I275</f>
        <v>452.5</v>
      </c>
      <c r="H275" s="505">
        <v>431</v>
      </c>
      <c r="I275" s="505">
        <v>21.5</v>
      </c>
      <c r="J275" s="451">
        <v>0</v>
      </c>
      <c r="K275" s="511">
        <f t="shared" si="172"/>
        <v>775.3</v>
      </c>
      <c r="L275" s="511">
        <f t="shared" si="173"/>
        <v>732.9</v>
      </c>
      <c r="M275" s="511">
        <f t="shared" si="174"/>
        <v>42.4</v>
      </c>
      <c r="N275" s="445">
        <f t="shared" si="158"/>
        <v>0</v>
      </c>
      <c r="O275" s="451"/>
      <c r="P275" s="451"/>
      <c r="Q275" s="451"/>
      <c r="R275" s="451"/>
      <c r="S275" s="451"/>
      <c r="T275" s="451">
        <f>+U275+V275</f>
        <v>775.3</v>
      </c>
      <c r="U275" s="451">
        <v>732.9</v>
      </c>
      <c r="V275" s="451">
        <v>42.4</v>
      </c>
      <c r="W275" s="451"/>
      <c r="X275" s="451"/>
      <c r="Y275" s="451"/>
      <c r="Z275" s="451"/>
      <c r="AA275" s="451"/>
      <c r="AB275" s="15"/>
    </row>
    <row r="276" spans="1:28" ht="75" hidden="1">
      <c r="A276" s="443">
        <v>19</v>
      </c>
      <c r="B276" s="376" t="s">
        <v>822</v>
      </c>
      <c r="C276" s="8" t="s">
        <v>511</v>
      </c>
      <c r="D276" s="8"/>
      <c r="E276" s="8" t="s">
        <v>159</v>
      </c>
      <c r="F276" s="8" t="s">
        <v>54</v>
      </c>
      <c r="G276" s="505">
        <f t="shared" si="157"/>
        <v>420</v>
      </c>
      <c r="H276" s="505">
        <v>400</v>
      </c>
      <c r="I276" s="505">
        <v>20</v>
      </c>
      <c r="J276" s="451">
        <v>0</v>
      </c>
      <c r="K276" s="511">
        <f t="shared" si="172"/>
        <v>0</v>
      </c>
      <c r="L276" s="511">
        <f t="shared" si="173"/>
        <v>0</v>
      </c>
      <c r="M276" s="511">
        <f t="shared" si="174"/>
        <v>0</v>
      </c>
      <c r="N276" s="445">
        <f t="shared" si="158"/>
        <v>0</v>
      </c>
      <c r="O276" s="451"/>
      <c r="P276" s="451"/>
      <c r="Q276" s="451"/>
      <c r="R276" s="451"/>
      <c r="S276" s="451"/>
      <c r="T276" s="451"/>
      <c r="U276" s="451"/>
      <c r="V276" s="451"/>
      <c r="W276" s="451">
        <f>+X276+Y276</f>
        <v>520.37</v>
      </c>
      <c r="X276" s="451">
        <v>500</v>
      </c>
      <c r="Y276" s="451">
        <v>20.37</v>
      </c>
      <c r="Z276" s="451"/>
      <c r="AA276" s="451"/>
      <c r="AB276" s="15"/>
    </row>
    <row r="277" spans="1:28" ht="75" hidden="1">
      <c r="A277" s="8">
        <v>20</v>
      </c>
      <c r="B277" s="328" t="s">
        <v>526</v>
      </c>
      <c r="C277" s="8" t="s">
        <v>515</v>
      </c>
      <c r="D277" s="8"/>
      <c r="E277" s="8" t="s">
        <v>527</v>
      </c>
      <c r="F277" s="8" t="s">
        <v>54</v>
      </c>
      <c r="G277" s="505">
        <f t="shared" si="157"/>
        <v>420</v>
      </c>
      <c r="H277" s="505">
        <v>400</v>
      </c>
      <c r="I277" s="505">
        <v>20</v>
      </c>
      <c r="J277" s="451">
        <v>0</v>
      </c>
      <c r="K277" s="511">
        <f t="shared" si="172"/>
        <v>687.5</v>
      </c>
      <c r="L277" s="511">
        <f t="shared" si="173"/>
        <v>650</v>
      </c>
      <c r="M277" s="511">
        <f t="shared" si="174"/>
        <v>37.5</v>
      </c>
      <c r="N277" s="445">
        <f t="shared" si="158"/>
        <v>0</v>
      </c>
      <c r="O277" s="451"/>
      <c r="P277" s="451"/>
      <c r="Q277" s="451"/>
      <c r="R277" s="451"/>
      <c r="S277" s="451"/>
      <c r="T277" s="451">
        <f>+U277+V277</f>
        <v>687.5</v>
      </c>
      <c r="U277" s="451">
        <v>650</v>
      </c>
      <c r="V277" s="451">
        <v>37.5</v>
      </c>
      <c r="W277" s="451"/>
      <c r="X277" s="451"/>
      <c r="Y277" s="451"/>
      <c r="Z277" s="451"/>
      <c r="AA277" s="451"/>
      <c r="AB277" s="15"/>
    </row>
    <row r="278" spans="1:28" ht="30" hidden="1">
      <c r="A278" s="8">
        <v>21</v>
      </c>
      <c r="B278" s="328" t="s">
        <v>528</v>
      </c>
      <c r="C278" s="8" t="s">
        <v>529</v>
      </c>
      <c r="D278" s="8"/>
      <c r="E278" s="8" t="s">
        <v>530</v>
      </c>
      <c r="F278" s="8" t="s">
        <v>54</v>
      </c>
      <c r="G278" s="445">
        <f t="shared" si="157"/>
        <v>313.39999999999998</v>
      </c>
      <c r="H278" s="445">
        <v>300</v>
      </c>
      <c r="I278" s="445">
        <v>13.4</v>
      </c>
      <c r="J278" s="451">
        <v>0</v>
      </c>
      <c r="K278" s="511">
        <f t="shared" si="172"/>
        <v>0</v>
      </c>
      <c r="L278" s="511">
        <f t="shared" si="173"/>
        <v>0</v>
      </c>
      <c r="M278" s="511">
        <f t="shared" si="174"/>
        <v>0</v>
      </c>
      <c r="N278" s="445">
        <f t="shared" si="158"/>
        <v>0</v>
      </c>
      <c r="O278" s="451"/>
      <c r="P278" s="451"/>
      <c r="Q278" s="451"/>
      <c r="R278" s="451"/>
      <c r="S278" s="451"/>
      <c r="T278" s="451"/>
      <c r="U278" s="451"/>
      <c r="V278" s="451"/>
      <c r="W278" s="451">
        <f>+X278+Y278</f>
        <v>313.39999999999998</v>
      </c>
      <c r="X278" s="451">
        <v>300</v>
      </c>
      <c r="Y278" s="451">
        <v>13.4</v>
      </c>
      <c r="Z278" s="451"/>
      <c r="AA278" s="451"/>
      <c r="AB278" s="15"/>
    </row>
    <row r="279" spans="1:28" ht="30" hidden="1">
      <c r="A279" s="8">
        <v>22</v>
      </c>
      <c r="B279" s="328" t="s">
        <v>531</v>
      </c>
      <c r="C279" s="8" t="s">
        <v>509</v>
      </c>
      <c r="D279" s="8"/>
      <c r="E279" s="8" t="s">
        <v>532</v>
      </c>
      <c r="F279" s="8" t="s">
        <v>54</v>
      </c>
      <c r="G279" s="505">
        <f t="shared" si="157"/>
        <v>262.5</v>
      </c>
      <c r="H279" s="505">
        <v>250</v>
      </c>
      <c r="I279" s="505">
        <v>12.5</v>
      </c>
      <c r="J279" s="451">
        <v>0</v>
      </c>
      <c r="K279" s="511">
        <f t="shared" si="172"/>
        <v>0</v>
      </c>
      <c r="L279" s="511">
        <f t="shared" si="173"/>
        <v>0</v>
      </c>
      <c r="M279" s="511">
        <f t="shared" si="174"/>
        <v>0</v>
      </c>
      <c r="N279" s="445">
        <f t="shared" si="158"/>
        <v>0</v>
      </c>
      <c r="O279" s="451"/>
      <c r="P279" s="451"/>
      <c r="Q279" s="451"/>
      <c r="R279" s="451"/>
      <c r="S279" s="451"/>
      <c r="T279" s="451"/>
      <c r="U279" s="451"/>
      <c r="V279" s="451"/>
      <c r="W279" s="451">
        <f>+X279+Y279</f>
        <v>262.5</v>
      </c>
      <c r="X279" s="451">
        <v>250</v>
      </c>
      <c r="Y279" s="451">
        <v>12.5</v>
      </c>
      <c r="Z279" s="451"/>
      <c r="AA279" s="451"/>
      <c r="AB279" s="15"/>
    </row>
    <row r="280" spans="1:28" ht="30" hidden="1">
      <c r="A280" s="8">
        <v>23</v>
      </c>
      <c r="B280" s="376" t="s">
        <v>810</v>
      </c>
      <c r="C280" s="375" t="s">
        <v>334</v>
      </c>
      <c r="D280" s="8"/>
      <c r="E280" s="8" t="s">
        <v>533</v>
      </c>
      <c r="F280" s="8" t="s">
        <v>54</v>
      </c>
      <c r="G280" s="445">
        <f t="shared" si="157"/>
        <v>315</v>
      </c>
      <c r="H280" s="445">
        <v>300</v>
      </c>
      <c r="I280" s="445">
        <v>15</v>
      </c>
      <c r="J280" s="451">
        <v>0</v>
      </c>
      <c r="K280" s="511">
        <f t="shared" si="172"/>
        <v>0</v>
      </c>
      <c r="L280" s="511">
        <f t="shared" si="173"/>
        <v>0</v>
      </c>
      <c r="M280" s="511">
        <f t="shared" si="174"/>
        <v>0</v>
      </c>
      <c r="N280" s="445">
        <f t="shared" si="158"/>
        <v>0</v>
      </c>
      <c r="O280" s="451"/>
      <c r="P280" s="451"/>
      <c r="Q280" s="451"/>
      <c r="R280" s="451"/>
      <c r="S280" s="451"/>
      <c r="T280" s="451"/>
      <c r="U280" s="451"/>
      <c r="V280" s="451"/>
      <c r="W280" s="451">
        <f>+X280+Y280</f>
        <v>314.31</v>
      </c>
      <c r="X280" s="451">
        <v>309.81</v>
      </c>
      <c r="Y280" s="451">
        <v>4.5</v>
      </c>
      <c r="Z280" s="451"/>
      <c r="AA280" s="451"/>
      <c r="AB280" s="15"/>
    </row>
    <row r="281" spans="1:28" ht="60" hidden="1">
      <c r="A281" s="8">
        <v>24</v>
      </c>
      <c r="B281" s="512" t="s">
        <v>534</v>
      </c>
      <c r="C281" s="8" t="s">
        <v>509</v>
      </c>
      <c r="D281" s="8"/>
      <c r="E281" s="22" t="s">
        <v>535</v>
      </c>
      <c r="F281" s="8" t="s">
        <v>54</v>
      </c>
      <c r="G281" s="505">
        <f t="shared" si="157"/>
        <v>420</v>
      </c>
      <c r="H281" s="505">
        <v>400</v>
      </c>
      <c r="I281" s="505">
        <v>20</v>
      </c>
      <c r="J281" s="451">
        <v>0</v>
      </c>
      <c r="K281" s="511">
        <f t="shared" si="172"/>
        <v>0</v>
      </c>
      <c r="L281" s="511">
        <f t="shared" si="173"/>
        <v>0</v>
      </c>
      <c r="M281" s="511">
        <f t="shared" si="174"/>
        <v>0</v>
      </c>
      <c r="N281" s="445">
        <f t="shared" si="158"/>
        <v>0</v>
      </c>
      <c r="O281" s="451"/>
      <c r="P281" s="451"/>
      <c r="Q281" s="451"/>
      <c r="R281" s="451"/>
      <c r="S281" s="451"/>
      <c r="T281" s="451"/>
      <c r="U281" s="451"/>
      <c r="V281" s="451"/>
      <c r="W281" s="451"/>
      <c r="X281" s="451"/>
      <c r="Y281" s="451"/>
      <c r="Z281" s="451"/>
      <c r="AA281" s="451"/>
      <c r="AB281" s="15"/>
    </row>
    <row r="282" spans="1:28" ht="30" hidden="1">
      <c r="A282" s="8">
        <v>25</v>
      </c>
      <c r="B282" s="328" t="s">
        <v>536</v>
      </c>
      <c r="C282" s="8" t="s">
        <v>515</v>
      </c>
      <c r="D282" s="8"/>
      <c r="E282" s="8" t="s">
        <v>537</v>
      </c>
      <c r="F282" s="8" t="s">
        <v>54</v>
      </c>
      <c r="G282" s="445">
        <f t="shared" si="157"/>
        <v>210</v>
      </c>
      <c r="H282" s="445">
        <v>200</v>
      </c>
      <c r="I282" s="445">
        <v>10</v>
      </c>
      <c r="J282" s="451">
        <v>0</v>
      </c>
      <c r="K282" s="511">
        <f t="shared" si="172"/>
        <v>264.3</v>
      </c>
      <c r="L282" s="511">
        <f t="shared" si="173"/>
        <v>250</v>
      </c>
      <c r="M282" s="511">
        <f t="shared" si="174"/>
        <v>14.3</v>
      </c>
      <c r="N282" s="445">
        <f t="shared" si="158"/>
        <v>0</v>
      </c>
      <c r="O282" s="451"/>
      <c r="P282" s="451"/>
      <c r="Q282" s="451"/>
      <c r="R282" s="451"/>
      <c r="S282" s="451"/>
      <c r="T282" s="451">
        <f>+U282+V282</f>
        <v>264.3</v>
      </c>
      <c r="U282" s="451">
        <v>250</v>
      </c>
      <c r="V282" s="451">
        <v>14.3</v>
      </c>
      <c r="W282" s="451"/>
      <c r="X282" s="451"/>
      <c r="Y282" s="451"/>
      <c r="Z282" s="451"/>
      <c r="AA282" s="451"/>
      <c r="AB282" s="15"/>
    </row>
    <row r="283" spans="1:28" ht="30" hidden="1">
      <c r="A283" s="8">
        <v>26</v>
      </c>
      <c r="B283" s="512" t="s">
        <v>538</v>
      </c>
      <c r="C283" s="8" t="s">
        <v>506</v>
      </c>
      <c r="D283" s="8"/>
      <c r="E283" s="8" t="s">
        <v>539</v>
      </c>
      <c r="F283" s="8" t="s">
        <v>54</v>
      </c>
      <c r="G283" s="445">
        <f t="shared" si="157"/>
        <v>210</v>
      </c>
      <c r="H283" s="445">
        <v>200</v>
      </c>
      <c r="I283" s="445">
        <v>10</v>
      </c>
      <c r="J283" s="451">
        <v>0</v>
      </c>
      <c r="K283" s="511">
        <f t="shared" si="172"/>
        <v>0</v>
      </c>
      <c r="L283" s="511">
        <f t="shared" si="173"/>
        <v>0</v>
      </c>
      <c r="M283" s="511">
        <f t="shared" si="174"/>
        <v>0</v>
      </c>
      <c r="N283" s="445">
        <f t="shared" si="158"/>
        <v>0</v>
      </c>
      <c r="O283" s="451"/>
      <c r="P283" s="451"/>
      <c r="Q283" s="451"/>
      <c r="R283" s="451"/>
      <c r="S283" s="451"/>
      <c r="T283" s="451"/>
      <c r="U283" s="451"/>
      <c r="V283" s="451"/>
      <c r="W283" s="451"/>
      <c r="X283" s="451"/>
      <c r="Y283" s="451"/>
      <c r="Z283" s="451"/>
      <c r="AA283" s="451"/>
      <c r="AB283" s="15"/>
    </row>
    <row r="284" spans="1:28" ht="75" hidden="1">
      <c r="A284" s="8">
        <v>27</v>
      </c>
      <c r="B284" s="376" t="s">
        <v>823</v>
      </c>
      <c r="C284" s="8" t="s">
        <v>334</v>
      </c>
      <c r="D284" s="8"/>
      <c r="E284" s="8" t="s">
        <v>159</v>
      </c>
      <c r="F284" s="8" t="s">
        <v>55</v>
      </c>
      <c r="G284" s="445">
        <f t="shared" si="157"/>
        <v>525</v>
      </c>
      <c r="H284" s="445">
        <v>500</v>
      </c>
      <c r="I284" s="445">
        <v>25</v>
      </c>
      <c r="J284" s="451">
        <v>0</v>
      </c>
      <c r="K284" s="511">
        <f t="shared" si="172"/>
        <v>0</v>
      </c>
      <c r="L284" s="511">
        <f t="shared" si="173"/>
        <v>0</v>
      </c>
      <c r="M284" s="511">
        <f t="shared" si="174"/>
        <v>0</v>
      </c>
      <c r="N284" s="445">
        <f t="shared" si="158"/>
        <v>0</v>
      </c>
      <c r="O284" s="451"/>
      <c r="P284" s="451"/>
      <c r="Q284" s="451"/>
      <c r="R284" s="451"/>
      <c r="S284" s="451"/>
      <c r="T284" s="451"/>
      <c r="U284" s="451"/>
      <c r="V284" s="451"/>
      <c r="W284" s="451">
        <f>+X284+Y284</f>
        <v>499.55</v>
      </c>
      <c r="X284" s="451">
        <v>480</v>
      </c>
      <c r="Y284" s="451">
        <v>19.55</v>
      </c>
      <c r="Z284" s="451"/>
      <c r="AA284" s="451"/>
      <c r="AB284" s="15"/>
    </row>
    <row r="285" spans="1:28" ht="75" hidden="1">
      <c r="A285" s="8">
        <v>28</v>
      </c>
      <c r="B285" s="376" t="s">
        <v>824</v>
      </c>
      <c r="C285" s="8" t="s">
        <v>511</v>
      </c>
      <c r="D285" s="8"/>
      <c r="E285" s="8" t="s">
        <v>159</v>
      </c>
      <c r="F285" s="8">
        <v>2025</v>
      </c>
      <c r="G285" s="445">
        <f t="shared" si="157"/>
        <v>525</v>
      </c>
      <c r="H285" s="445">
        <v>500</v>
      </c>
      <c r="I285" s="445">
        <v>25</v>
      </c>
      <c r="J285" s="451">
        <v>0</v>
      </c>
      <c r="K285" s="511">
        <f t="shared" si="172"/>
        <v>0</v>
      </c>
      <c r="L285" s="511">
        <f t="shared" si="173"/>
        <v>0</v>
      </c>
      <c r="M285" s="511">
        <f t="shared" si="174"/>
        <v>0</v>
      </c>
      <c r="N285" s="445">
        <f t="shared" si="158"/>
        <v>0</v>
      </c>
      <c r="O285" s="451"/>
      <c r="P285" s="451"/>
      <c r="Q285" s="451"/>
      <c r="R285" s="451"/>
      <c r="S285" s="451"/>
      <c r="T285" s="451"/>
      <c r="U285" s="451"/>
      <c r="V285" s="451"/>
      <c r="W285" s="445">
        <f t="shared" ref="W285" si="176">X285+Y285</f>
        <v>525</v>
      </c>
      <c r="X285" s="445">
        <v>500</v>
      </c>
      <c r="Y285" s="445">
        <v>25</v>
      </c>
      <c r="Z285" s="451"/>
      <c r="AA285" s="451"/>
      <c r="AB285" s="15"/>
    </row>
    <row r="286" spans="1:28" ht="30" hidden="1">
      <c r="A286" s="8">
        <v>29</v>
      </c>
      <c r="B286" s="512" t="s">
        <v>540</v>
      </c>
      <c r="C286" s="8" t="s">
        <v>529</v>
      </c>
      <c r="D286" s="8"/>
      <c r="E286" s="8" t="s">
        <v>811</v>
      </c>
      <c r="F286" s="8" t="s">
        <v>55</v>
      </c>
      <c r="G286" s="505">
        <f t="shared" si="157"/>
        <v>430.5</v>
      </c>
      <c r="H286" s="505">
        <v>410</v>
      </c>
      <c r="I286" s="505">
        <v>20.5</v>
      </c>
      <c r="J286" s="451">
        <v>0</v>
      </c>
      <c r="K286" s="511">
        <f t="shared" si="172"/>
        <v>0</v>
      </c>
      <c r="L286" s="511">
        <f t="shared" si="173"/>
        <v>0</v>
      </c>
      <c r="M286" s="511">
        <f t="shared" si="174"/>
        <v>0</v>
      </c>
      <c r="N286" s="445">
        <f t="shared" si="158"/>
        <v>0</v>
      </c>
      <c r="O286" s="451"/>
      <c r="P286" s="451"/>
      <c r="Q286" s="451"/>
      <c r="R286" s="451"/>
      <c r="S286" s="451"/>
      <c r="T286" s="451"/>
      <c r="U286" s="451"/>
      <c r="V286" s="451"/>
      <c r="W286" s="451"/>
      <c r="X286" s="451"/>
      <c r="Y286" s="451"/>
      <c r="Z286" s="451"/>
      <c r="AA286" s="451"/>
      <c r="AB286" s="15"/>
    </row>
    <row r="287" spans="1:28" ht="30" hidden="1">
      <c r="A287" s="8">
        <v>30</v>
      </c>
      <c r="B287" s="328" t="s">
        <v>541</v>
      </c>
      <c r="C287" s="8" t="s">
        <v>509</v>
      </c>
      <c r="D287" s="8"/>
      <c r="E287" s="8" t="s">
        <v>812</v>
      </c>
      <c r="F287" s="8" t="s">
        <v>55</v>
      </c>
      <c r="G287" s="505">
        <f t="shared" si="157"/>
        <v>430.5</v>
      </c>
      <c r="H287" s="505">
        <v>410</v>
      </c>
      <c r="I287" s="505">
        <v>20.5</v>
      </c>
      <c r="J287" s="451">
        <v>0</v>
      </c>
      <c r="K287" s="511">
        <f t="shared" si="172"/>
        <v>0</v>
      </c>
      <c r="L287" s="511">
        <f t="shared" si="173"/>
        <v>0</v>
      </c>
      <c r="M287" s="511">
        <f t="shared" si="174"/>
        <v>0</v>
      </c>
      <c r="N287" s="445">
        <f t="shared" si="158"/>
        <v>0</v>
      </c>
      <c r="O287" s="451"/>
      <c r="P287" s="451"/>
      <c r="Q287" s="451"/>
      <c r="R287" s="451"/>
      <c r="S287" s="451"/>
      <c r="T287" s="451"/>
      <c r="U287" s="451"/>
      <c r="V287" s="451"/>
      <c r="W287" s="451">
        <f>+X287+Y287</f>
        <v>499.55</v>
      </c>
      <c r="X287" s="451">
        <v>480</v>
      </c>
      <c r="Y287" s="451">
        <v>19.55</v>
      </c>
      <c r="Z287" s="451"/>
      <c r="AA287" s="451"/>
      <c r="AB287" s="15"/>
    </row>
    <row r="288" spans="1:28" ht="75" hidden="1">
      <c r="A288" s="8">
        <v>31</v>
      </c>
      <c r="B288" s="512" t="s">
        <v>542</v>
      </c>
      <c r="C288" s="8" t="s">
        <v>502</v>
      </c>
      <c r="D288" s="8"/>
      <c r="E288" s="8" t="s">
        <v>510</v>
      </c>
      <c r="F288" s="8" t="s">
        <v>55</v>
      </c>
      <c r="G288" s="505">
        <f t="shared" si="157"/>
        <v>336</v>
      </c>
      <c r="H288" s="505">
        <v>320</v>
      </c>
      <c r="I288" s="505">
        <v>16</v>
      </c>
      <c r="J288" s="451">
        <v>0</v>
      </c>
      <c r="K288" s="511">
        <f t="shared" si="172"/>
        <v>0</v>
      </c>
      <c r="L288" s="511">
        <f t="shared" si="173"/>
        <v>0</v>
      </c>
      <c r="M288" s="511">
        <f t="shared" si="174"/>
        <v>0</v>
      </c>
      <c r="N288" s="445">
        <f t="shared" si="158"/>
        <v>0</v>
      </c>
      <c r="O288" s="451"/>
      <c r="P288" s="451"/>
      <c r="Q288" s="451"/>
      <c r="R288" s="451"/>
      <c r="S288" s="451"/>
      <c r="T288" s="451"/>
      <c r="U288" s="451"/>
      <c r="V288" s="451"/>
      <c r="W288" s="451"/>
      <c r="X288" s="451"/>
      <c r="Y288" s="451"/>
      <c r="Z288" s="451"/>
      <c r="AA288" s="451"/>
      <c r="AB288" s="15"/>
    </row>
    <row r="289" spans="1:31" ht="75" hidden="1">
      <c r="A289" s="8">
        <v>32</v>
      </c>
      <c r="B289" s="328" t="s">
        <v>543</v>
      </c>
      <c r="C289" s="8" t="s">
        <v>502</v>
      </c>
      <c r="D289" s="8"/>
      <c r="E289" s="8" t="s">
        <v>510</v>
      </c>
      <c r="F289" s="8" t="s">
        <v>55</v>
      </c>
      <c r="G289" s="505">
        <f t="shared" si="157"/>
        <v>105.25</v>
      </c>
      <c r="H289" s="505">
        <v>100.25</v>
      </c>
      <c r="I289" s="505">
        <v>5</v>
      </c>
      <c r="J289" s="451">
        <v>0</v>
      </c>
      <c r="K289" s="511">
        <f t="shared" si="172"/>
        <v>0</v>
      </c>
      <c r="L289" s="511">
        <f t="shared" si="173"/>
        <v>0</v>
      </c>
      <c r="M289" s="511">
        <f t="shared" si="174"/>
        <v>0</v>
      </c>
      <c r="N289" s="445">
        <f t="shared" si="158"/>
        <v>0</v>
      </c>
      <c r="O289" s="451"/>
      <c r="P289" s="451"/>
      <c r="Q289" s="451"/>
      <c r="R289" s="451"/>
      <c r="S289" s="451"/>
      <c r="T289" s="451"/>
      <c r="U289" s="451"/>
      <c r="V289" s="451"/>
      <c r="W289" s="451">
        <f>+X289+Y289</f>
        <v>624.44000000000005</v>
      </c>
      <c r="X289" s="451">
        <v>600</v>
      </c>
      <c r="Y289" s="451">
        <v>24.44</v>
      </c>
      <c r="Z289" s="451"/>
      <c r="AA289" s="451"/>
      <c r="AB289" s="15"/>
    </row>
    <row r="290" spans="1:31" s="18" customFormat="1" ht="75">
      <c r="A290" s="249" t="s">
        <v>839</v>
      </c>
      <c r="B290" s="250" t="s">
        <v>840</v>
      </c>
      <c r="C290" s="250"/>
      <c r="D290" s="250"/>
      <c r="E290" s="250"/>
      <c r="F290" s="251"/>
      <c r="G290" s="453">
        <f>G291+G292+G293</f>
        <v>33294</v>
      </c>
      <c r="H290" s="453">
        <f t="shared" ref="H290:I290" si="177">H291+H292+H293</f>
        <v>31708</v>
      </c>
      <c r="I290" s="453">
        <f t="shared" si="177"/>
        <v>1586.0000000000011</v>
      </c>
      <c r="J290" s="453">
        <f t="shared" ref="J290:AA290" si="178">J291</f>
        <v>0</v>
      </c>
      <c r="K290" s="453"/>
      <c r="L290" s="453"/>
      <c r="M290" s="453"/>
      <c r="N290" s="453">
        <f t="shared" si="178"/>
        <v>7764</v>
      </c>
      <c r="O290" s="453">
        <f t="shared" si="178"/>
        <v>7395</v>
      </c>
      <c r="P290" s="453">
        <f t="shared" si="178"/>
        <v>369</v>
      </c>
      <c r="Q290" s="453"/>
      <c r="R290" s="486"/>
      <c r="S290" s="486"/>
      <c r="T290" s="453"/>
      <c r="U290" s="486"/>
      <c r="V290" s="486"/>
      <c r="W290" s="453"/>
      <c r="X290" s="486"/>
      <c r="Y290" s="486"/>
      <c r="Z290" s="453"/>
      <c r="AA290" s="453">
        <f t="shared" si="178"/>
        <v>0</v>
      </c>
      <c r="AB290" s="252"/>
      <c r="AC290" s="371"/>
      <c r="AD290" s="371"/>
      <c r="AE290" s="371"/>
    </row>
    <row r="291" spans="1:31" ht="105">
      <c r="A291" s="253">
        <v>1</v>
      </c>
      <c r="B291" s="254" t="s">
        <v>841</v>
      </c>
      <c r="C291" s="254"/>
      <c r="D291" s="254"/>
      <c r="E291" s="254"/>
      <c r="F291" s="9" t="s">
        <v>31</v>
      </c>
      <c r="G291" s="451">
        <f>H291+I291</f>
        <v>11231.857099999999</v>
      </c>
      <c r="H291" s="451">
        <v>10670.264244999998</v>
      </c>
      <c r="I291" s="451">
        <v>561.59285500000078</v>
      </c>
      <c r="J291" s="454"/>
      <c r="K291" s="454"/>
      <c r="L291" s="454"/>
      <c r="M291" s="454"/>
      <c r="N291" s="451">
        <f>O291+P291</f>
        <v>7764</v>
      </c>
      <c r="O291" s="451">
        <v>7395</v>
      </c>
      <c r="P291" s="451">
        <v>369</v>
      </c>
      <c r="Q291" s="451"/>
      <c r="R291" s="483"/>
      <c r="S291" s="483"/>
      <c r="T291" s="451"/>
      <c r="U291" s="483"/>
      <c r="V291" s="483"/>
      <c r="W291" s="451"/>
      <c r="X291" s="483"/>
      <c r="Y291" s="483"/>
      <c r="Z291" s="451"/>
      <c r="AA291" s="454"/>
      <c r="AB291" s="257"/>
    </row>
    <row r="292" spans="1:31" ht="90">
      <c r="A292" s="253">
        <v>2</v>
      </c>
      <c r="B292" s="254" t="s">
        <v>842</v>
      </c>
      <c r="C292" s="254"/>
      <c r="D292" s="254"/>
      <c r="E292" s="254"/>
      <c r="F292" s="9" t="s">
        <v>33</v>
      </c>
      <c r="G292" s="451">
        <f>H292+I292</f>
        <v>8824.8572000000004</v>
      </c>
      <c r="H292" s="451">
        <v>8383.6143400000001</v>
      </c>
      <c r="I292" s="451">
        <v>441.24286000000029</v>
      </c>
      <c r="J292" s="454"/>
      <c r="K292" s="454"/>
      <c r="L292" s="454"/>
      <c r="M292" s="454"/>
      <c r="N292" s="454"/>
      <c r="O292" s="454"/>
      <c r="P292" s="454"/>
      <c r="Q292" s="454"/>
      <c r="R292" s="487"/>
      <c r="S292" s="487"/>
      <c r="T292" s="454"/>
      <c r="U292" s="487"/>
      <c r="V292" s="487"/>
      <c r="W292" s="454"/>
      <c r="X292" s="487"/>
      <c r="Y292" s="487"/>
      <c r="Z292" s="454"/>
      <c r="AA292" s="454"/>
      <c r="AB292" s="257"/>
    </row>
    <row r="293" spans="1:31" ht="90">
      <c r="A293" s="253">
        <v>3</v>
      </c>
      <c r="B293" s="254" t="s">
        <v>843</v>
      </c>
      <c r="C293" s="254"/>
      <c r="D293" s="254"/>
      <c r="E293" s="254"/>
      <c r="F293" s="9" t="s">
        <v>33</v>
      </c>
      <c r="G293" s="451">
        <f>H293+I293</f>
        <v>13237.2857</v>
      </c>
      <c r="H293" s="451">
        <f>11833.121415+821</f>
        <v>12654.121415</v>
      </c>
      <c r="I293" s="451">
        <f>1404.164285-821</f>
        <v>583.16428500000006</v>
      </c>
      <c r="J293" s="454"/>
      <c r="K293" s="454"/>
      <c r="L293" s="454"/>
      <c r="M293" s="454"/>
      <c r="N293" s="454"/>
      <c r="O293" s="454"/>
      <c r="P293" s="454"/>
      <c r="Q293" s="454"/>
      <c r="R293" s="487"/>
      <c r="S293" s="487"/>
      <c r="T293" s="454"/>
      <c r="U293" s="487"/>
      <c r="V293" s="487"/>
      <c r="W293" s="454"/>
      <c r="X293" s="487"/>
      <c r="Y293" s="487"/>
      <c r="Z293" s="454"/>
      <c r="AA293" s="454"/>
      <c r="AB293" s="257"/>
    </row>
    <row r="294" spans="1:31" s="18" customFormat="1" ht="90">
      <c r="A294" s="17" t="s">
        <v>844</v>
      </c>
      <c r="B294" s="250" t="s">
        <v>845</v>
      </c>
      <c r="C294" s="250"/>
      <c r="D294" s="250"/>
      <c r="E294" s="250"/>
      <c r="F294" s="6"/>
      <c r="G294" s="453">
        <f>G295</f>
        <v>3209</v>
      </c>
      <c r="H294" s="453">
        <f t="shared" ref="H294:AA294" si="179">H295</f>
        <v>3056</v>
      </c>
      <c r="I294" s="453">
        <f t="shared" si="179"/>
        <v>153</v>
      </c>
      <c r="J294" s="453">
        <f t="shared" si="179"/>
        <v>0</v>
      </c>
      <c r="K294" s="453"/>
      <c r="L294" s="453"/>
      <c r="M294" s="453"/>
      <c r="N294" s="453">
        <f t="shared" si="179"/>
        <v>0</v>
      </c>
      <c r="O294" s="453">
        <f t="shared" si="179"/>
        <v>0</v>
      </c>
      <c r="P294" s="453">
        <f t="shared" si="179"/>
        <v>0</v>
      </c>
      <c r="Q294" s="453"/>
      <c r="R294" s="486"/>
      <c r="S294" s="486"/>
      <c r="T294" s="453"/>
      <c r="U294" s="486"/>
      <c r="V294" s="486"/>
      <c r="W294" s="453"/>
      <c r="X294" s="486"/>
      <c r="Y294" s="486"/>
      <c r="Z294" s="453"/>
      <c r="AA294" s="453">
        <f t="shared" si="179"/>
        <v>0</v>
      </c>
      <c r="AB294" s="258"/>
      <c r="AC294" s="371"/>
      <c r="AD294" s="371"/>
      <c r="AE294" s="371"/>
    </row>
    <row r="295" spans="1:31" ht="105">
      <c r="A295" s="15">
        <v>1</v>
      </c>
      <c r="B295" s="241" t="s">
        <v>846</v>
      </c>
      <c r="C295" s="241"/>
      <c r="D295" s="241"/>
      <c r="E295" s="241"/>
      <c r="F295" s="8"/>
      <c r="G295" s="323">
        <f>H295+I295</f>
        <v>3209</v>
      </c>
      <c r="H295" s="444">
        <v>3056</v>
      </c>
      <c r="I295" s="444">
        <v>153</v>
      </c>
      <c r="J295" s="451"/>
      <c r="K295" s="451"/>
      <c r="L295" s="451"/>
      <c r="M295" s="451"/>
      <c r="N295" s="445"/>
      <c r="O295" s="451"/>
      <c r="P295" s="451"/>
      <c r="Q295" s="451"/>
      <c r="R295" s="483"/>
      <c r="S295" s="483"/>
      <c r="T295" s="451"/>
      <c r="U295" s="483"/>
      <c r="V295" s="483"/>
      <c r="W295" s="451"/>
      <c r="X295" s="483"/>
      <c r="Y295" s="483"/>
      <c r="Z295" s="451"/>
      <c r="AA295" s="451"/>
      <c r="AB295" s="15"/>
    </row>
    <row r="296" spans="1:31" s="18" customFormat="1" ht="120">
      <c r="A296" s="249" t="s">
        <v>847</v>
      </c>
      <c r="B296" s="250" t="s">
        <v>848</v>
      </c>
      <c r="C296" s="250"/>
      <c r="D296" s="250"/>
      <c r="E296" s="250"/>
      <c r="F296" s="259"/>
      <c r="G296" s="323">
        <f t="shared" ref="G296:AA296" si="180">SUM(G297:G312)</f>
        <v>139558</v>
      </c>
      <c r="H296" s="323">
        <f t="shared" si="180"/>
        <v>122249</v>
      </c>
      <c r="I296" s="323">
        <f t="shared" si="180"/>
        <v>17309</v>
      </c>
      <c r="J296" s="323">
        <f t="shared" si="180"/>
        <v>0</v>
      </c>
      <c r="K296" s="323"/>
      <c r="L296" s="323"/>
      <c r="M296" s="323"/>
      <c r="N296" s="323">
        <f t="shared" si="180"/>
        <v>29997</v>
      </c>
      <c r="O296" s="323">
        <f t="shared" si="180"/>
        <v>27339</v>
      </c>
      <c r="P296" s="323">
        <f t="shared" si="180"/>
        <v>2658</v>
      </c>
      <c r="Q296" s="323"/>
      <c r="R296" s="479"/>
      <c r="S296" s="479"/>
      <c r="T296" s="323"/>
      <c r="U296" s="479"/>
      <c r="V296" s="479"/>
      <c r="W296" s="323"/>
      <c r="X296" s="479"/>
      <c r="Y296" s="479"/>
      <c r="Z296" s="323"/>
      <c r="AA296" s="323">
        <f t="shared" si="180"/>
        <v>0</v>
      </c>
      <c r="AB296" s="324"/>
      <c r="AC296" s="371"/>
      <c r="AD296" s="371"/>
      <c r="AE296" s="371"/>
    </row>
    <row r="297" spans="1:31">
      <c r="A297" s="260"/>
      <c r="B297" s="261" t="s">
        <v>849</v>
      </c>
      <c r="C297" s="257"/>
      <c r="D297" s="257"/>
      <c r="E297" s="257"/>
      <c r="F297" s="256"/>
      <c r="G297" s="451"/>
      <c r="H297" s="451"/>
      <c r="I297" s="451"/>
      <c r="J297" s="451"/>
      <c r="K297" s="451"/>
      <c r="L297" s="451"/>
      <c r="M297" s="451"/>
      <c r="N297" s="445"/>
      <c r="O297" s="451"/>
      <c r="P297" s="451"/>
      <c r="Q297" s="451"/>
      <c r="R297" s="483"/>
      <c r="S297" s="483"/>
      <c r="T297" s="451"/>
      <c r="U297" s="483"/>
      <c r="V297" s="483"/>
      <c r="W297" s="451"/>
      <c r="X297" s="483"/>
      <c r="Y297" s="483"/>
      <c r="Z297" s="451"/>
      <c r="AA297" s="451"/>
      <c r="AB297" s="257"/>
    </row>
    <row r="298" spans="1:31" ht="30">
      <c r="A298" s="253">
        <v>1</v>
      </c>
      <c r="B298" s="241" t="s">
        <v>850</v>
      </c>
      <c r="C298" s="9" t="s">
        <v>851</v>
      </c>
      <c r="D298" s="9"/>
      <c r="E298" s="262" t="s">
        <v>852</v>
      </c>
      <c r="F298" s="9" t="s">
        <v>853</v>
      </c>
      <c r="G298" s="445">
        <f>H298+I298</f>
        <v>14720</v>
      </c>
      <c r="H298" s="451">
        <v>12800</v>
      </c>
      <c r="I298" s="451">
        <v>1920</v>
      </c>
      <c r="J298" s="451"/>
      <c r="K298" s="451"/>
      <c r="L298" s="451"/>
      <c r="M298" s="451"/>
      <c r="N298" s="445">
        <f>O298+P298</f>
        <v>4416</v>
      </c>
      <c r="O298" s="451">
        <v>3933</v>
      </c>
      <c r="P298" s="451">
        <v>483</v>
      </c>
      <c r="Q298" s="451"/>
      <c r="R298" s="483"/>
      <c r="S298" s="483"/>
      <c r="T298" s="451"/>
      <c r="U298" s="483"/>
      <c r="V298" s="483"/>
      <c r="W298" s="451"/>
      <c r="X298" s="483"/>
      <c r="Y298" s="483"/>
      <c r="Z298" s="451"/>
      <c r="AA298" s="451"/>
      <c r="AB298" s="9"/>
    </row>
    <row r="299" spans="1:31" ht="30">
      <c r="A299" s="253">
        <v>2</v>
      </c>
      <c r="B299" s="241" t="s">
        <v>854</v>
      </c>
      <c r="C299" s="9" t="s">
        <v>855</v>
      </c>
      <c r="D299" s="9"/>
      <c r="E299" s="262" t="s">
        <v>856</v>
      </c>
      <c r="F299" s="9" t="s">
        <v>33</v>
      </c>
      <c r="G299" s="445">
        <f t="shared" ref="G299:G312" si="181">H299+I299</f>
        <v>26496</v>
      </c>
      <c r="H299" s="451">
        <v>23040</v>
      </c>
      <c r="I299" s="451">
        <v>3456</v>
      </c>
      <c r="J299" s="451"/>
      <c r="K299" s="451"/>
      <c r="L299" s="451"/>
      <c r="M299" s="451"/>
      <c r="N299" s="445"/>
      <c r="O299" s="451"/>
      <c r="P299" s="451"/>
      <c r="Q299" s="451"/>
      <c r="R299" s="483"/>
      <c r="S299" s="483"/>
      <c r="T299" s="451"/>
      <c r="U299" s="483"/>
      <c r="V299" s="483"/>
      <c r="W299" s="451"/>
      <c r="X299" s="483"/>
      <c r="Y299" s="483"/>
      <c r="Z299" s="451"/>
      <c r="AA299" s="451"/>
      <c r="AB299" s="9"/>
    </row>
    <row r="300" spans="1:31">
      <c r="A300" s="260"/>
      <c r="B300" s="261" t="s">
        <v>857</v>
      </c>
      <c r="C300" s="257"/>
      <c r="D300" s="257"/>
      <c r="E300" s="257"/>
      <c r="F300" s="256"/>
      <c r="G300" s="445"/>
      <c r="H300" s="451"/>
      <c r="I300" s="451"/>
      <c r="J300" s="451"/>
      <c r="K300" s="451"/>
      <c r="L300" s="451"/>
      <c r="M300" s="451"/>
      <c r="N300" s="445"/>
      <c r="O300" s="451"/>
      <c r="P300" s="451"/>
      <c r="Q300" s="451"/>
      <c r="R300" s="483"/>
      <c r="S300" s="483"/>
      <c r="T300" s="451"/>
      <c r="U300" s="483"/>
      <c r="V300" s="483"/>
      <c r="W300" s="451"/>
      <c r="X300" s="483"/>
      <c r="Y300" s="483"/>
      <c r="Z300" s="451"/>
      <c r="AA300" s="451"/>
      <c r="AB300" s="257"/>
    </row>
    <row r="301" spans="1:31" ht="75">
      <c r="A301" s="253">
        <v>1</v>
      </c>
      <c r="B301" s="264" t="s">
        <v>858</v>
      </c>
      <c r="C301" s="262" t="s">
        <v>859</v>
      </c>
      <c r="D301" s="262"/>
      <c r="E301" s="262" t="s">
        <v>860</v>
      </c>
      <c r="F301" s="9" t="s">
        <v>853</v>
      </c>
      <c r="G301" s="445">
        <f t="shared" si="181"/>
        <v>24840</v>
      </c>
      <c r="H301" s="451">
        <v>21600</v>
      </c>
      <c r="I301" s="451">
        <v>3240</v>
      </c>
      <c r="J301" s="451"/>
      <c r="K301" s="451"/>
      <c r="L301" s="451"/>
      <c r="M301" s="451"/>
      <c r="N301" s="445">
        <f t="shared" ref="N301:N308" si="182">O301+P301</f>
        <v>7452</v>
      </c>
      <c r="O301" s="451">
        <v>7106</v>
      </c>
      <c r="P301" s="451">
        <v>346</v>
      </c>
      <c r="Q301" s="451"/>
      <c r="R301" s="483"/>
      <c r="S301" s="483"/>
      <c r="T301" s="451"/>
      <c r="U301" s="483"/>
      <c r="V301" s="483"/>
      <c r="W301" s="451"/>
      <c r="X301" s="483"/>
      <c r="Y301" s="483"/>
      <c r="Z301" s="451"/>
      <c r="AA301" s="451"/>
      <c r="AB301" s="9"/>
    </row>
    <row r="302" spans="1:31" ht="45">
      <c r="A302" s="253">
        <v>2</v>
      </c>
      <c r="B302" s="264" t="s">
        <v>861</v>
      </c>
      <c r="C302" s="262" t="s">
        <v>862</v>
      </c>
      <c r="D302" s="262"/>
      <c r="E302" s="262" t="s">
        <v>863</v>
      </c>
      <c r="F302" s="9" t="s">
        <v>33</v>
      </c>
      <c r="G302" s="445">
        <f t="shared" si="181"/>
        <v>14949</v>
      </c>
      <c r="H302" s="451">
        <v>13449</v>
      </c>
      <c r="I302" s="451">
        <v>1500</v>
      </c>
      <c r="J302" s="451"/>
      <c r="K302" s="451"/>
      <c r="L302" s="451"/>
      <c r="M302" s="451"/>
      <c r="N302" s="445"/>
      <c r="O302" s="451"/>
      <c r="P302" s="451"/>
      <c r="Q302" s="451"/>
      <c r="R302" s="483"/>
      <c r="S302" s="483"/>
      <c r="T302" s="451"/>
      <c r="U302" s="483"/>
      <c r="V302" s="483"/>
      <c r="W302" s="451"/>
      <c r="X302" s="483"/>
      <c r="Y302" s="483"/>
      <c r="Z302" s="451"/>
      <c r="AA302" s="451"/>
      <c r="AB302" s="9"/>
    </row>
    <row r="303" spans="1:31">
      <c r="A303" s="260"/>
      <c r="B303" s="261" t="s">
        <v>864</v>
      </c>
      <c r="C303" s="257"/>
      <c r="D303" s="257"/>
      <c r="E303" s="257"/>
      <c r="F303" s="256"/>
      <c r="G303" s="445"/>
      <c r="H303" s="451"/>
      <c r="I303" s="451"/>
      <c r="J303" s="451"/>
      <c r="K303" s="451"/>
      <c r="L303" s="451"/>
      <c r="M303" s="451"/>
      <c r="N303" s="445"/>
      <c r="O303" s="451"/>
      <c r="P303" s="451"/>
      <c r="Q303" s="451"/>
      <c r="R303" s="483"/>
      <c r="S303" s="483"/>
      <c r="T303" s="451"/>
      <c r="U303" s="483"/>
      <c r="V303" s="483"/>
      <c r="W303" s="451"/>
      <c r="X303" s="483"/>
      <c r="Y303" s="483"/>
      <c r="Z303" s="451"/>
      <c r="AA303" s="451"/>
      <c r="AB303" s="257"/>
    </row>
    <row r="304" spans="1:31" ht="75">
      <c r="A304" s="253">
        <v>1</v>
      </c>
      <c r="B304" s="264" t="s">
        <v>865</v>
      </c>
      <c r="C304" s="262" t="s">
        <v>866</v>
      </c>
      <c r="D304" s="262"/>
      <c r="E304" s="262" t="s">
        <v>867</v>
      </c>
      <c r="F304" s="9" t="s">
        <v>853</v>
      </c>
      <c r="G304" s="445">
        <f t="shared" si="181"/>
        <v>11040</v>
      </c>
      <c r="H304" s="451">
        <v>9600</v>
      </c>
      <c r="I304" s="451">
        <v>1440</v>
      </c>
      <c r="J304" s="451"/>
      <c r="K304" s="451"/>
      <c r="L304" s="451"/>
      <c r="M304" s="451"/>
      <c r="N304" s="445">
        <f t="shared" si="182"/>
        <v>3312</v>
      </c>
      <c r="O304" s="451">
        <v>2878</v>
      </c>
      <c r="P304" s="451">
        <v>434</v>
      </c>
      <c r="Q304" s="451"/>
      <c r="R304" s="483"/>
      <c r="S304" s="483"/>
      <c r="T304" s="451"/>
      <c r="U304" s="483"/>
      <c r="V304" s="483"/>
      <c r="W304" s="451"/>
      <c r="X304" s="483"/>
      <c r="Y304" s="483"/>
      <c r="Z304" s="451"/>
      <c r="AA304" s="451"/>
      <c r="AB304" s="262"/>
    </row>
    <row r="305" spans="1:31">
      <c r="A305" s="260"/>
      <c r="B305" s="261" t="s">
        <v>868</v>
      </c>
      <c r="C305" s="257"/>
      <c r="D305" s="257"/>
      <c r="E305" s="257"/>
      <c r="F305" s="256"/>
      <c r="G305" s="445"/>
      <c r="H305" s="451"/>
      <c r="I305" s="451"/>
      <c r="J305" s="451"/>
      <c r="K305" s="451"/>
      <c r="L305" s="451"/>
      <c r="M305" s="451"/>
      <c r="N305" s="445">
        <f t="shared" si="182"/>
        <v>0</v>
      </c>
      <c r="O305" s="451"/>
      <c r="P305" s="451"/>
      <c r="Q305" s="451"/>
      <c r="R305" s="483"/>
      <c r="S305" s="483"/>
      <c r="T305" s="451"/>
      <c r="U305" s="483"/>
      <c r="V305" s="483"/>
      <c r="W305" s="451"/>
      <c r="X305" s="483"/>
      <c r="Y305" s="483"/>
      <c r="Z305" s="451"/>
      <c r="AA305" s="451"/>
      <c r="AB305" s="257"/>
    </row>
    <row r="306" spans="1:31" ht="45">
      <c r="A306" s="253">
        <v>1</v>
      </c>
      <c r="B306" s="241" t="s">
        <v>869</v>
      </c>
      <c r="C306" s="9" t="s">
        <v>870</v>
      </c>
      <c r="D306" s="9"/>
      <c r="E306" s="262" t="s">
        <v>871</v>
      </c>
      <c r="F306" s="9" t="s">
        <v>853</v>
      </c>
      <c r="G306" s="445">
        <f t="shared" si="181"/>
        <v>25760</v>
      </c>
      <c r="H306" s="451">
        <v>22400</v>
      </c>
      <c r="I306" s="451">
        <v>3360</v>
      </c>
      <c r="J306" s="451"/>
      <c r="K306" s="451"/>
      <c r="L306" s="451"/>
      <c r="M306" s="451"/>
      <c r="N306" s="445">
        <f t="shared" si="182"/>
        <v>8128</v>
      </c>
      <c r="O306" s="451">
        <v>7728</v>
      </c>
      <c r="P306" s="451">
        <v>400</v>
      </c>
      <c r="Q306" s="451"/>
      <c r="R306" s="483"/>
      <c r="S306" s="483"/>
      <c r="T306" s="451"/>
      <c r="U306" s="483"/>
      <c r="V306" s="483"/>
      <c r="W306" s="451"/>
      <c r="X306" s="483"/>
      <c r="Y306" s="483"/>
      <c r="Z306" s="451"/>
      <c r="AA306" s="451"/>
      <c r="AB306" s="262"/>
    </row>
    <row r="307" spans="1:31">
      <c r="A307" s="260"/>
      <c r="B307" s="261" t="s">
        <v>872</v>
      </c>
      <c r="C307" s="257"/>
      <c r="D307" s="257"/>
      <c r="E307" s="260"/>
      <c r="F307" s="256"/>
      <c r="G307" s="445"/>
      <c r="H307" s="451"/>
      <c r="I307" s="451"/>
      <c r="J307" s="451"/>
      <c r="K307" s="451"/>
      <c r="L307" s="451"/>
      <c r="M307" s="451"/>
      <c r="N307" s="445">
        <f t="shared" si="182"/>
        <v>0</v>
      </c>
      <c r="O307" s="451"/>
      <c r="P307" s="451"/>
      <c r="Q307" s="451"/>
      <c r="R307" s="483"/>
      <c r="S307" s="483"/>
      <c r="T307" s="451"/>
      <c r="U307" s="483"/>
      <c r="V307" s="483"/>
      <c r="W307" s="451"/>
      <c r="X307" s="483"/>
      <c r="Y307" s="483"/>
      <c r="Z307" s="451"/>
      <c r="AA307" s="451"/>
      <c r="AB307" s="257"/>
    </row>
    <row r="308" spans="1:31" ht="60">
      <c r="A308" s="253">
        <v>1</v>
      </c>
      <c r="B308" s="264" t="s">
        <v>873</v>
      </c>
      <c r="C308" s="262" t="s">
        <v>874</v>
      </c>
      <c r="D308" s="262"/>
      <c r="E308" s="262" t="s">
        <v>875</v>
      </c>
      <c r="F308" s="9" t="s">
        <v>853</v>
      </c>
      <c r="G308" s="445">
        <f t="shared" si="181"/>
        <v>8280</v>
      </c>
      <c r="H308" s="451">
        <v>7200</v>
      </c>
      <c r="I308" s="451">
        <v>1080</v>
      </c>
      <c r="J308" s="451"/>
      <c r="K308" s="451"/>
      <c r="L308" s="451"/>
      <c r="M308" s="451"/>
      <c r="N308" s="445">
        <f t="shared" si="182"/>
        <v>2484</v>
      </c>
      <c r="O308" s="451">
        <v>2099</v>
      </c>
      <c r="P308" s="451">
        <v>385</v>
      </c>
      <c r="Q308" s="451"/>
      <c r="R308" s="483"/>
      <c r="S308" s="483"/>
      <c r="T308" s="451"/>
      <c r="U308" s="483"/>
      <c r="V308" s="483"/>
      <c r="W308" s="451"/>
      <c r="X308" s="483"/>
      <c r="Y308" s="483"/>
      <c r="Z308" s="451"/>
      <c r="AA308" s="451"/>
      <c r="AB308" s="262"/>
    </row>
    <row r="309" spans="1:31">
      <c r="A309" s="260"/>
      <c r="B309" s="261" t="s">
        <v>876</v>
      </c>
      <c r="C309" s="257"/>
      <c r="D309" s="257"/>
      <c r="E309" s="257"/>
      <c r="F309" s="256"/>
      <c r="G309" s="445">
        <f t="shared" si="181"/>
        <v>0</v>
      </c>
      <c r="H309" s="451"/>
      <c r="I309" s="451"/>
      <c r="J309" s="451"/>
      <c r="K309" s="451"/>
      <c r="L309" s="451"/>
      <c r="M309" s="451"/>
      <c r="N309" s="445">
        <f>O309+P309</f>
        <v>0</v>
      </c>
      <c r="O309" s="451"/>
      <c r="P309" s="451"/>
      <c r="Q309" s="451"/>
      <c r="R309" s="483"/>
      <c r="S309" s="483"/>
      <c r="T309" s="451"/>
      <c r="U309" s="483"/>
      <c r="V309" s="483"/>
      <c r="W309" s="451"/>
      <c r="X309" s="483"/>
      <c r="Y309" s="483"/>
      <c r="Z309" s="451"/>
      <c r="AA309" s="451"/>
      <c r="AB309" s="257"/>
    </row>
    <row r="310" spans="1:31" ht="45">
      <c r="A310" s="253">
        <v>1</v>
      </c>
      <c r="B310" s="241" t="s">
        <v>877</v>
      </c>
      <c r="C310" s="9" t="s">
        <v>878</v>
      </c>
      <c r="D310" s="9"/>
      <c r="E310" s="9" t="s">
        <v>879</v>
      </c>
      <c r="F310" s="9" t="s">
        <v>853</v>
      </c>
      <c r="G310" s="445">
        <f t="shared" si="181"/>
        <v>5193</v>
      </c>
      <c r="H310" s="451">
        <v>4960</v>
      </c>
      <c r="I310" s="451">
        <v>233</v>
      </c>
      <c r="J310" s="451"/>
      <c r="K310" s="451"/>
      <c r="L310" s="451"/>
      <c r="M310" s="451"/>
      <c r="N310" s="445">
        <f>O310+P310</f>
        <v>1721</v>
      </c>
      <c r="O310" s="451">
        <v>1488</v>
      </c>
      <c r="P310" s="451">
        <v>233</v>
      </c>
      <c r="Q310" s="451"/>
      <c r="R310" s="483"/>
      <c r="S310" s="483"/>
      <c r="T310" s="451"/>
      <c r="U310" s="483"/>
      <c r="V310" s="483"/>
      <c r="W310" s="451"/>
      <c r="X310" s="483"/>
      <c r="Y310" s="483"/>
      <c r="Z310" s="451"/>
      <c r="AA310" s="451"/>
      <c r="AB310" s="262"/>
    </row>
    <row r="311" spans="1:31">
      <c r="A311" s="260"/>
      <c r="B311" s="261" t="s">
        <v>880</v>
      </c>
      <c r="C311" s="257"/>
      <c r="D311" s="257"/>
      <c r="E311" s="257"/>
      <c r="F311" s="256"/>
      <c r="G311" s="445">
        <f t="shared" si="181"/>
        <v>0</v>
      </c>
      <c r="H311" s="451"/>
      <c r="I311" s="451"/>
      <c r="J311" s="451"/>
      <c r="K311" s="451"/>
      <c r="L311" s="451"/>
      <c r="M311" s="451"/>
      <c r="N311" s="451"/>
      <c r="O311" s="451"/>
      <c r="P311" s="451"/>
      <c r="Q311" s="451"/>
      <c r="R311" s="483"/>
      <c r="S311" s="483"/>
      <c r="T311" s="451"/>
      <c r="U311" s="483"/>
      <c r="V311" s="483"/>
      <c r="W311" s="451"/>
      <c r="X311" s="483"/>
      <c r="Y311" s="483"/>
      <c r="Z311" s="451"/>
      <c r="AA311" s="451"/>
      <c r="AB311" s="257"/>
    </row>
    <row r="312" spans="1:31" ht="30">
      <c r="A312" s="253">
        <v>1</v>
      </c>
      <c r="B312" s="265" t="s">
        <v>881</v>
      </c>
      <c r="C312" s="10" t="s">
        <v>882</v>
      </c>
      <c r="D312" s="10"/>
      <c r="E312" s="9" t="s">
        <v>883</v>
      </c>
      <c r="F312" s="9" t="s">
        <v>853</v>
      </c>
      <c r="G312" s="445">
        <f t="shared" si="181"/>
        <v>8280</v>
      </c>
      <c r="H312" s="451">
        <v>7200</v>
      </c>
      <c r="I312" s="451">
        <v>1080</v>
      </c>
      <c r="J312" s="451"/>
      <c r="K312" s="451"/>
      <c r="L312" s="451"/>
      <c r="M312" s="451"/>
      <c r="N312" s="445">
        <f>O312+P312</f>
        <v>2484</v>
      </c>
      <c r="O312" s="451">
        <v>2107</v>
      </c>
      <c r="P312" s="451">
        <v>377</v>
      </c>
      <c r="Q312" s="451"/>
      <c r="R312" s="483"/>
      <c r="S312" s="483"/>
      <c r="T312" s="451"/>
      <c r="U312" s="483"/>
      <c r="V312" s="483"/>
      <c r="W312" s="451"/>
      <c r="X312" s="483"/>
      <c r="Y312" s="483"/>
      <c r="Z312" s="451"/>
      <c r="AA312" s="451"/>
      <c r="AB312" s="262"/>
    </row>
    <row r="313" spans="1:31" s="7" customFormat="1" ht="71.25">
      <c r="A313" s="266" t="s">
        <v>549</v>
      </c>
      <c r="B313" s="236" t="s">
        <v>884</v>
      </c>
      <c r="C313" s="267"/>
      <c r="D313" s="267"/>
      <c r="E313" s="267"/>
      <c r="F313" s="267"/>
      <c r="G313" s="455">
        <f>G314+G315</f>
        <v>158200</v>
      </c>
      <c r="H313" s="455">
        <f t="shared" ref="H313:AA313" si="183">H314+H315</f>
        <v>150667</v>
      </c>
      <c r="I313" s="455">
        <f t="shared" si="183"/>
        <v>7533</v>
      </c>
      <c r="J313" s="455">
        <f t="shared" si="183"/>
        <v>0</v>
      </c>
      <c r="K313" s="455"/>
      <c r="L313" s="455"/>
      <c r="M313" s="455"/>
      <c r="N313" s="455">
        <f t="shared" si="183"/>
        <v>28476</v>
      </c>
      <c r="O313" s="455">
        <f t="shared" si="183"/>
        <v>27120</v>
      </c>
      <c r="P313" s="455">
        <f t="shared" si="183"/>
        <v>1356</v>
      </c>
      <c r="Q313" s="455"/>
      <c r="R313" s="488"/>
      <c r="S313" s="488"/>
      <c r="T313" s="455"/>
      <c r="U313" s="488"/>
      <c r="V313" s="488"/>
      <c r="W313" s="455"/>
      <c r="X313" s="488"/>
      <c r="Y313" s="488"/>
      <c r="Z313" s="455"/>
      <c r="AA313" s="455">
        <f t="shared" si="183"/>
        <v>0</v>
      </c>
      <c r="AB313" s="268"/>
      <c r="AC313" s="366"/>
      <c r="AD313" s="366"/>
      <c r="AE313" s="366"/>
    </row>
    <row r="314" spans="1:31" ht="165">
      <c r="A314" s="253">
        <v>1</v>
      </c>
      <c r="B314" s="241" t="s">
        <v>885</v>
      </c>
      <c r="C314" s="269"/>
      <c r="D314" s="269"/>
      <c r="E314" s="269"/>
      <c r="F314" s="9" t="s">
        <v>853</v>
      </c>
      <c r="G314" s="451">
        <f>H314+I314</f>
        <v>42902</v>
      </c>
      <c r="H314" s="451">
        <v>40860</v>
      </c>
      <c r="I314" s="451">
        <v>2042</v>
      </c>
      <c r="J314" s="451"/>
      <c r="K314" s="451"/>
      <c r="L314" s="451"/>
      <c r="M314" s="451"/>
      <c r="N314" s="451">
        <f>O314+P314</f>
        <v>28476</v>
      </c>
      <c r="O314" s="451">
        <v>27120</v>
      </c>
      <c r="P314" s="451">
        <v>1356</v>
      </c>
      <c r="Q314" s="451"/>
      <c r="R314" s="483"/>
      <c r="S314" s="483"/>
      <c r="T314" s="451"/>
      <c r="U314" s="483"/>
      <c r="V314" s="483"/>
      <c r="W314" s="451"/>
      <c r="X314" s="483"/>
      <c r="Y314" s="483"/>
      <c r="Z314" s="451"/>
      <c r="AA314" s="451"/>
      <c r="AB314" s="257"/>
    </row>
    <row r="315" spans="1:31" ht="165">
      <c r="A315" s="253">
        <v>2</v>
      </c>
      <c r="B315" s="241" t="s">
        <v>886</v>
      </c>
      <c r="C315" s="269"/>
      <c r="D315" s="269"/>
      <c r="E315" s="269"/>
      <c r="F315" s="9" t="s">
        <v>33</v>
      </c>
      <c r="G315" s="451">
        <f>H315+I315</f>
        <v>115298</v>
      </c>
      <c r="H315" s="451">
        <v>109807</v>
      </c>
      <c r="I315" s="451">
        <v>5491</v>
      </c>
      <c r="J315" s="451"/>
      <c r="K315" s="451"/>
      <c r="L315" s="451"/>
      <c r="M315" s="451"/>
      <c r="N315" s="451"/>
      <c r="O315" s="451"/>
      <c r="P315" s="451"/>
      <c r="Q315" s="451"/>
      <c r="R315" s="483"/>
      <c r="S315" s="483"/>
      <c r="T315" s="451"/>
      <c r="U315" s="483"/>
      <c r="V315" s="483"/>
      <c r="W315" s="451"/>
      <c r="X315" s="483"/>
      <c r="Y315" s="483"/>
      <c r="Z315" s="451"/>
      <c r="AA315" s="451"/>
      <c r="AB315" s="257"/>
    </row>
    <row r="316" spans="1:31" s="7" customFormat="1" ht="85.5">
      <c r="A316" s="266" t="s">
        <v>550</v>
      </c>
      <c r="B316" s="236" t="s">
        <v>887</v>
      </c>
      <c r="C316" s="236"/>
      <c r="D316" s="236"/>
      <c r="E316" s="236"/>
      <c r="F316" s="270"/>
      <c r="G316" s="455">
        <f t="shared" ref="G316:G321" si="184">H316+I316</f>
        <v>45908</v>
      </c>
      <c r="H316" s="455">
        <f>H317+H318+H319+H321</f>
        <v>43722</v>
      </c>
      <c r="I316" s="455">
        <f t="shared" ref="I316:AA316" si="185">I317+I318+I319+I321</f>
        <v>2186</v>
      </c>
      <c r="J316" s="455">
        <f t="shared" si="185"/>
        <v>0</v>
      </c>
      <c r="K316" s="455"/>
      <c r="L316" s="455"/>
      <c r="M316" s="455"/>
      <c r="N316" s="455">
        <f t="shared" si="185"/>
        <v>8285</v>
      </c>
      <c r="O316" s="455">
        <f t="shared" si="185"/>
        <v>7890</v>
      </c>
      <c r="P316" s="455">
        <f t="shared" si="185"/>
        <v>395</v>
      </c>
      <c r="Q316" s="455"/>
      <c r="R316" s="488"/>
      <c r="S316" s="488"/>
      <c r="T316" s="455"/>
      <c r="U316" s="488"/>
      <c r="V316" s="488"/>
      <c r="W316" s="455"/>
      <c r="X316" s="488"/>
      <c r="Y316" s="488"/>
      <c r="Z316" s="455"/>
      <c r="AA316" s="455">
        <f t="shared" si="185"/>
        <v>0</v>
      </c>
      <c r="AB316" s="268"/>
      <c r="AC316" s="366"/>
      <c r="AD316" s="366"/>
      <c r="AE316" s="366"/>
    </row>
    <row r="317" spans="1:31" ht="60">
      <c r="A317" s="253">
        <v>1</v>
      </c>
      <c r="B317" s="271" t="s">
        <v>888</v>
      </c>
      <c r="C317" s="239"/>
      <c r="D317" s="239"/>
      <c r="E317" s="239"/>
      <c r="F317" s="9" t="s">
        <v>853</v>
      </c>
      <c r="G317" s="451">
        <f t="shared" si="184"/>
        <v>8386</v>
      </c>
      <c r="H317" s="451">
        <v>7987</v>
      </c>
      <c r="I317" s="451">
        <v>399</v>
      </c>
      <c r="J317" s="454"/>
      <c r="K317" s="454"/>
      <c r="L317" s="454"/>
      <c r="M317" s="454"/>
      <c r="N317" s="451">
        <f t="shared" ref="N317:N323" si="186">O317+P317</f>
        <v>8285</v>
      </c>
      <c r="O317" s="451">
        <v>7890</v>
      </c>
      <c r="P317" s="451">
        <v>395</v>
      </c>
      <c r="Q317" s="451"/>
      <c r="R317" s="483"/>
      <c r="S317" s="483"/>
      <c r="T317" s="451"/>
      <c r="U317" s="483"/>
      <c r="V317" s="483"/>
      <c r="W317" s="451"/>
      <c r="X317" s="483"/>
      <c r="Y317" s="483"/>
      <c r="Z317" s="451"/>
      <c r="AA317" s="454"/>
      <c r="AB317" s="257"/>
    </row>
    <row r="318" spans="1:31" ht="45">
      <c r="A318" s="253">
        <v>2</v>
      </c>
      <c r="B318" s="271" t="s">
        <v>889</v>
      </c>
      <c r="C318" s="257"/>
      <c r="D318" s="257"/>
      <c r="E318" s="257"/>
      <c r="F318" s="9" t="s">
        <v>33</v>
      </c>
      <c r="G318" s="451">
        <f t="shared" si="184"/>
        <v>20407</v>
      </c>
      <c r="H318" s="445">
        <v>19435</v>
      </c>
      <c r="I318" s="445">
        <v>972</v>
      </c>
      <c r="J318" s="454"/>
      <c r="K318" s="454"/>
      <c r="L318" s="454"/>
      <c r="M318" s="454"/>
      <c r="N318" s="451">
        <f t="shared" si="186"/>
        <v>0</v>
      </c>
      <c r="O318" s="454"/>
      <c r="P318" s="454"/>
      <c r="Q318" s="454"/>
      <c r="R318" s="487"/>
      <c r="S318" s="487"/>
      <c r="T318" s="454"/>
      <c r="U318" s="487"/>
      <c r="V318" s="487"/>
      <c r="W318" s="454"/>
      <c r="X318" s="487"/>
      <c r="Y318" s="487"/>
      <c r="Z318" s="454"/>
      <c r="AA318" s="454"/>
      <c r="AB318" s="257"/>
    </row>
    <row r="319" spans="1:31" ht="60">
      <c r="A319" s="253">
        <v>3</v>
      </c>
      <c r="B319" s="271" t="s">
        <v>890</v>
      </c>
      <c r="C319" s="257"/>
      <c r="D319" s="257"/>
      <c r="E319" s="257"/>
      <c r="F319" s="9" t="s">
        <v>33</v>
      </c>
      <c r="G319" s="451">
        <f t="shared" si="184"/>
        <v>10269</v>
      </c>
      <c r="H319" s="445">
        <f>H320</f>
        <v>9780</v>
      </c>
      <c r="I319" s="445">
        <f>I320</f>
        <v>489</v>
      </c>
      <c r="J319" s="454"/>
      <c r="K319" s="454"/>
      <c r="L319" s="454"/>
      <c r="M319" s="454"/>
      <c r="N319" s="451">
        <f t="shared" si="186"/>
        <v>0</v>
      </c>
      <c r="O319" s="454"/>
      <c r="P319" s="454"/>
      <c r="Q319" s="454"/>
      <c r="R319" s="487"/>
      <c r="S319" s="487"/>
      <c r="T319" s="454"/>
      <c r="U319" s="487"/>
      <c r="V319" s="487"/>
      <c r="W319" s="454"/>
      <c r="X319" s="487"/>
      <c r="Y319" s="487"/>
      <c r="Z319" s="454"/>
      <c r="AA319" s="454"/>
      <c r="AB319" s="257"/>
    </row>
    <row r="320" spans="1:31">
      <c r="A320" s="253" t="s">
        <v>891</v>
      </c>
      <c r="B320" s="272" t="s">
        <v>892</v>
      </c>
      <c r="C320" s="273"/>
      <c r="D320" s="273"/>
      <c r="E320" s="273"/>
      <c r="F320" s="274"/>
      <c r="G320" s="456">
        <f t="shared" si="184"/>
        <v>10269</v>
      </c>
      <c r="H320" s="446">
        <v>9780</v>
      </c>
      <c r="I320" s="446">
        <v>489</v>
      </c>
      <c r="J320" s="454"/>
      <c r="K320" s="454"/>
      <c r="L320" s="454"/>
      <c r="M320" s="454"/>
      <c r="N320" s="451">
        <f t="shared" si="186"/>
        <v>0</v>
      </c>
      <c r="O320" s="454"/>
      <c r="P320" s="454"/>
      <c r="Q320" s="454"/>
      <c r="R320" s="487"/>
      <c r="S320" s="487"/>
      <c r="T320" s="454"/>
      <c r="U320" s="487"/>
      <c r="V320" s="487"/>
      <c r="W320" s="454"/>
      <c r="X320" s="487"/>
      <c r="Y320" s="487"/>
      <c r="Z320" s="454"/>
      <c r="AA320" s="454"/>
      <c r="AB320" s="257"/>
    </row>
    <row r="321" spans="1:28" ht="60">
      <c r="A321" s="253">
        <v>4</v>
      </c>
      <c r="B321" s="271" t="s">
        <v>893</v>
      </c>
      <c r="C321" s="257"/>
      <c r="D321" s="257"/>
      <c r="E321" s="257"/>
      <c r="F321" s="9" t="s">
        <v>33</v>
      </c>
      <c r="G321" s="451">
        <f t="shared" si="184"/>
        <v>6846</v>
      </c>
      <c r="H321" s="445">
        <v>6520</v>
      </c>
      <c r="I321" s="445">
        <v>326</v>
      </c>
      <c r="J321" s="454"/>
      <c r="K321" s="454"/>
      <c r="L321" s="454"/>
      <c r="M321" s="454"/>
      <c r="N321" s="451">
        <f t="shared" si="186"/>
        <v>0</v>
      </c>
      <c r="O321" s="454"/>
      <c r="P321" s="454"/>
      <c r="Q321" s="454"/>
      <c r="R321" s="487"/>
      <c r="S321" s="487"/>
      <c r="T321" s="454"/>
      <c r="U321" s="487"/>
      <c r="V321" s="487"/>
      <c r="W321" s="454"/>
      <c r="X321" s="487"/>
      <c r="Y321" s="487"/>
      <c r="Z321" s="454"/>
      <c r="AA321" s="454"/>
      <c r="AB321" s="257"/>
    </row>
    <row r="322" spans="1:28" ht="99.75">
      <c r="A322" s="266" t="s">
        <v>551</v>
      </c>
      <c r="B322" s="236" t="s">
        <v>894</v>
      </c>
      <c r="C322" s="236"/>
      <c r="D322" s="236"/>
      <c r="E322" s="236"/>
      <c r="F322" s="236"/>
      <c r="G322" s="323">
        <f t="shared" ref="G322:AA322" si="187">G323</f>
        <v>62969</v>
      </c>
      <c r="H322" s="323">
        <f t="shared" si="187"/>
        <v>59970</v>
      </c>
      <c r="I322" s="323">
        <f t="shared" si="187"/>
        <v>2999</v>
      </c>
      <c r="J322" s="323">
        <f t="shared" si="187"/>
        <v>0</v>
      </c>
      <c r="K322" s="323"/>
      <c r="L322" s="323"/>
      <c r="M322" s="323"/>
      <c r="N322" s="323">
        <f t="shared" si="187"/>
        <v>11335</v>
      </c>
      <c r="O322" s="323">
        <f t="shared" si="187"/>
        <v>10795</v>
      </c>
      <c r="P322" s="323">
        <f t="shared" si="187"/>
        <v>540</v>
      </c>
      <c r="Q322" s="323"/>
      <c r="R322" s="479"/>
      <c r="S322" s="479"/>
      <c r="T322" s="323"/>
      <c r="U322" s="479"/>
      <c r="V322" s="479"/>
      <c r="W322" s="323"/>
      <c r="X322" s="479"/>
      <c r="Y322" s="479"/>
      <c r="Z322" s="323"/>
      <c r="AA322" s="323">
        <f t="shared" si="187"/>
        <v>0</v>
      </c>
      <c r="AB322" s="236"/>
    </row>
    <row r="323" spans="1:28" ht="30">
      <c r="A323" s="253">
        <v>1</v>
      </c>
      <c r="B323" s="241" t="s">
        <v>895</v>
      </c>
      <c r="C323" s="257"/>
      <c r="D323" s="257"/>
      <c r="E323" s="257"/>
      <c r="F323" s="9" t="s">
        <v>19</v>
      </c>
      <c r="G323" s="445">
        <f>H323+I323</f>
        <v>62969</v>
      </c>
      <c r="H323" s="445">
        <v>59970</v>
      </c>
      <c r="I323" s="445">
        <v>2999</v>
      </c>
      <c r="J323" s="454"/>
      <c r="K323" s="454"/>
      <c r="L323" s="454"/>
      <c r="M323" s="454"/>
      <c r="N323" s="451">
        <f t="shared" si="186"/>
        <v>11335</v>
      </c>
      <c r="O323" s="451">
        <v>10795</v>
      </c>
      <c r="P323" s="451">
        <v>540</v>
      </c>
      <c r="Q323" s="451"/>
      <c r="R323" s="483"/>
      <c r="S323" s="483"/>
      <c r="T323" s="451"/>
      <c r="U323" s="483"/>
      <c r="V323" s="483"/>
      <c r="W323" s="451"/>
      <c r="X323" s="483"/>
      <c r="Y323" s="483"/>
      <c r="Z323" s="451"/>
      <c r="AA323" s="454"/>
      <c r="AB323" s="257"/>
    </row>
    <row r="324" spans="1:28" ht="128.25">
      <c r="A324" s="266" t="s">
        <v>39</v>
      </c>
      <c r="B324" s="236" t="s">
        <v>1006</v>
      </c>
      <c r="C324" s="257"/>
      <c r="D324" s="257"/>
      <c r="E324" s="257"/>
      <c r="F324" s="275"/>
      <c r="G324" s="323">
        <f>+G330</f>
        <v>5551</v>
      </c>
      <c r="H324" s="323">
        <f t="shared" ref="H324:AA324" si="188">+H330</f>
        <v>5287</v>
      </c>
      <c r="I324" s="323">
        <f t="shared" si="188"/>
        <v>264</v>
      </c>
      <c r="J324" s="323">
        <f t="shared" si="188"/>
        <v>0</v>
      </c>
      <c r="K324" s="323"/>
      <c r="L324" s="323"/>
      <c r="M324" s="323"/>
      <c r="N324" s="323">
        <f t="shared" si="188"/>
        <v>1000</v>
      </c>
      <c r="O324" s="323">
        <f t="shared" si="188"/>
        <v>952</v>
      </c>
      <c r="P324" s="323">
        <f t="shared" si="188"/>
        <v>48</v>
      </c>
      <c r="Q324" s="323"/>
      <c r="R324" s="479"/>
      <c r="S324" s="479"/>
      <c r="T324" s="323"/>
      <c r="U324" s="479"/>
      <c r="V324" s="479"/>
      <c r="W324" s="323"/>
      <c r="X324" s="479"/>
      <c r="Y324" s="479"/>
      <c r="Z324" s="323"/>
      <c r="AA324" s="323">
        <f t="shared" si="188"/>
        <v>0</v>
      </c>
      <c r="AB324" s="257"/>
    </row>
    <row r="325" spans="1:28" ht="90" hidden="1">
      <c r="A325" s="253">
        <v>1</v>
      </c>
      <c r="B325" s="276" t="s">
        <v>896</v>
      </c>
      <c r="C325" s="257"/>
      <c r="D325" s="257"/>
      <c r="E325" s="257"/>
      <c r="F325" s="9" t="s">
        <v>19</v>
      </c>
      <c r="G325" s="451">
        <f>H325+I325</f>
        <v>3433</v>
      </c>
      <c r="H325" s="451">
        <v>3269</v>
      </c>
      <c r="I325" s="451">
        <v>164</v>
      </c>
      <c r="J325" s="451"/>
      <c r="K325" s="451"/>
      <c r="L325" s="451"/>
      <c r="M325" s="451"/>
      <c r="N325" s="451">
        <f>O325+P325</f>
        <v>618</v>
      </c>
      <c r="O325" s="451">
        <v>588</v>
      </c>
      <c r="P325" s="451">
        <v>30</v>
      </c>
      <c r="Q325" s="451"/>
      <c r="R325" s="483"/>
      <c r="S325" s="483"/>
      <c r="T325" s="451"/>
      <c r="U325" s="483"/>
      <c r="V325" s="483"/>
      <c r="W325" s="451"/>
      <c r="X325" s="483"/>
      <c r="Y325" s="483"/>
      <c r="Z325" s="451"/>
      <c r="AA325" s="451"/>
      <c r="AB325" s="257"/>
    </row>
    <row r="326" spans="1:28" ht="90" hidden="1">
      <c r="A326" s="253">
        <v>2</v>
      </c>
      <c r="B326" s="276" t="s">
        <v>897</v>
      </c>
      <c r="C326" s="257"/>
      <c r="D326" s="257"/>
      <c r="E326" s="257"/>
      <c r="F326" s="9" t="s">
        <v>19</v>
      </c>
      <c r="G326" s="451">
        <f t="shared" ref="G326:G333" si="189">H326+I326</f>
        <v>3474</v>
      </c>
      <c r="H326" s="451">
        <v>3309</v>
      </c>
      <c r="I326" s="451">
        <v>165</v>
      </c>
      <c r="J326" s="451"/>
      <c r="K326" s="451"/>
      <c r="L326" s="451"/>
      <c r="M326" s="451"/>
      <c r="N326" s="451">
        <f t="shared" ref="N326:N333" si="190">O326+P326</f>
        <v>626</v>
      </c>
      <c r="O326" s="451">
        <v>596</v>
      </c>
      <c r="P326" s="451">
        <v>30</v>
      </c>
      <c r="Q326" s="451"/>
      <c r="R326" s="483"/>
      <c r="S326" s="483"/>
      <c r="T326" s="451"/>
      <c r="U326" s="483"/>
      <c r="V326" s="483"/>
      <c r="W326" s="451"/>
      <c r="X326" s="483"/>
      <c r="Y326" s="483"/>
      <c r="Z326" s="451"/>
      <c r="AA326" s="451"/>
      <c r="AB326" s="257"/>
    </row>
    <row r="327" spans="1:28" ht="90" hidden="1">
      <c r="A327" s="253">
        <v>3</v>
      </c>
      <c r="B327" s="276" t="s">
        <v>898</v>
      </c>
      <c r="C327" s="257"/>
      <c r="D327" s="257"/>
      <c r="E327" s="257"/>
      <c r="F327" s="9" t="s">
        <v>19</v>
      </c>
      <c r="G327" s="451">
        <f t="shared" si="189"/>
        <v>3798</v>
      </c>
      <c r="H327" s="451">
        <v>3617</v>
      </c>
      <c r="I327" s="451">
        <v>181</v>
      </c>
      <c r="J327" s="451"/>
      <c r="K327" s="451"/>
      <c r="L327" s="451"/>
      <c r="M327" s="451"/>
      <c r="N327" s="451">
        <f t="shared" si="190"/>
        <v>684</v>
      </c>
      <c r="O327" s="451">
        <v>651</v>
      </c>
      <c r="P327" s="451">
        <v>33</v>
      </c>
      <c r="Q327" s="451"/>
      <c r="R327" s="483"/>
      <c r="S327" s="483"/>
      <c r="T327" s="451"/>
      <c r="U327" s="483"/>
      <c r="V327" s="483"/>
      <c r="W327" s="451"/>
      <c r="X327" s="483"/>
      <c r="Y327" s="483"/>
      <c r="Z327" s="451"/>
      <c r="AA327" s="451"/>
      <c r="AB327" s="257"/>
    </row>
    <row r="328" spans="1:28" ht="90" hidden="1">
      <c r="A328" s="253">
        <v>4</v>
      </c>
      <c r="B328" s="276" t="s">
        <v>899</v>
      </c>
      <c r="C328" s="257"/>
      <c r="D328" s="257"/>
      <c r="E328" s="257"/>
      <c r="F328" s="9" t="s">
        <v>19</v>
      </c>
      <c r="G328" s="451">
        <f t="shared" si="189"/>
        <v>3440</v>
      </c>
      <c r="H328" s="451">
        <v>3276</v>
      </c>
      <c r="I328" s="451">
        <v>164</v>
      </c>
      <c r="J328" s="451"/>
      <c r="K328" s="451"/>
      <c r="L328" s="451"/>
      <c r="M328" s="451"/>
      <c r="N328" s="451">
        <f t="shared" si="190"/>
        <v>619</v>
      </c>
      <c r="O328" s="451">
        <v>590</v>
      </c>
      <c r="P328" s="451">
        <v>29</v>
      </c>
      <c r="Q328" s="451"/>
      <c r="R328" s="483"/>
      <c r="S328" s="483"/>
      <c r="T328" s="451"/>
      <c r="U328" s="483"/>
      <c r="V328" s="483"/>
      <c r="W328" s="451"/>
      <c r="X328" s="483"/>
      <c r="Y328" s="483"/>
      <c r="Z328" s="451"/>
      <c r="AA328" s="451"/>
      <c r="AB328" s="257"/>
    </row>
    <row r="329" spans="1:28" ht="90">
      <c r="A329" s="249" t="s">
        <v>1004</v>
      </c>
      <c r="B329" s="405" t="s">
        <v>1005</v>
      </c>
      <c r="C329" s="273"/>
      <c r="D329" s="273"/>
      <c r="E329" s="273"/>
      <c r="F329" s="415"/>
      <c r="G329" s="453">
        <f>+G330</f>
        <v>5551</v>
      </c>
      <c r="H329" s="453">
        <f t="shared" ref="H329:AA329" si="191">+H330</f>
        <v>5287</v>
      </c>
      <c r="I329" s="453">
        <f t="shared" si="191"/>
        <v>264</v>
      </c>
      <c r="J329" s="453">
        <f t="shared" si="191"/>
        <v>0</v>
      </c>
      <c r="K329" s="453"/>
      <c r="L329" s="453"/>
      <c r="M329" s="453"/>
      <c r="N329" s="453">
        <f t="shared" si="191"/>
        <v>1000</v>
      </c>
      <c r="O329" s="453">
        <f t="shared" si="191"/>
        <v>952</v>
      </c>
      <c r="P329" s="453">
        <f t="shared" si="191"/>
        <v>48</v>
      </c>
      <c r="Q329" s="453"/>
      <c r="R329" s="486"/>
      <c r="S329" s="486"/>
      <c r="T329" s="453"/>
      <c r="U329" s="486"/>
      <c r="V329" s="486"/>
      <c r="W329" s="453"/>
      <c r="X329" s="486"/>
      <c r="Y329" s="486"/>
      <c r="Z329" s="453"/>
      <c r="AA329" s="453">
        <f t="shared" si="191"/>
        <v>0</v>
      </c>
      <c r="AB329" s="257"/>
    </row>
    <row r="330" spans="1:28" ht="90" hidden="1">
      <c r="A330" s="253" t="s">
        <v>891</v>
      </c>
      <c r="B330" s="241" t="s">
        <v>900</v>
      </c>
      <c r="C330" s="257"/>
      <c r="D330" s="257"/>
      <c r="E330" s="257"/>
      <c r="F330" s="9" t="s">
        <v>19</v>
      </c>
      <c r="G330" s="255">
        <f t="shared" si="189"/>
        <v>5551</v>
      </c>
      <c r="H330" s="255">
        <v>5287</v>
      </c>
      <c r="I330" s="255">
        <v>264</v>
      </c>
      <c r="J330" s="255"/>
      <c r="K330" s="255"/>
      <c r="L330" s="255"/>
      <c r="M330" s="255"/>
      <c r="N330" s="255">
        <f t="shared" si="190"/>
        <v>1000</v>
      </c>
      <c r="O330" s="255">
        <v>952</v>
      </c>
      <c r="P330" s="255">
        <v>48</v>
      </c>
      <c r="Q330" s="255"/>
      <c r="R330" s="489"/>
      <c r="S330" s="489"/>
      <c r="T330" s="255"/>
      <c r="U330" s="489"/>
      <c r="V330" s="489"/>
      <c r="W330" s="255"/>
      <c r="X330" s="489"/>
      <c r="Y330" s="489"/>
      <c r="Z330" s="255"/>
      <c r="AA330" s="255"/>
      <c r="AB330" s="257"/>
    </row>
    <row r="331" spans="1:28" ht="90" hidden="1">
      <c r="A331" s="253">
        <v>6</v>
      </c>
      <c r="B331" s="276" t="s">
        <v>901</v>
      </c>
      <c r="C331" s="257"/>
      <c r="D331" s="257"/>
      <c r="E331" s="257"/>
      <c r="F331" s="9" t="s">
        <v>19</v>
      </c>
      <c r="G331" s="263">
        <f t="shared" si="189"/>
        <v>4212</v>
      </c>
      <c r="H331" s="295">
        <v>4011</v>
      </c>
      <c r="I331" s="263">
        <v>201</v>
      </c>
      <c r="J331" s="263"/>
      <c r="K331" s="263"/>
      <c r="L331" s="263"/>
      <c r="M331" s="263"/>
      <c r="N331" s="263">
        <f t="shared" si="190"/>
        <v>758</v>
      </c>
      <c r="O331" s="263">
        <v>722</v>
      </c>
      <c r="P331" s="263">
        <v>36</v>
      </c>
      <c r="Q331" s="263"/>
      <c r="R331" s="490"/>
      <c r="S331" s="490"/>
      <c r="T331" s="263"/>
      <c r="U331" s="490"/>
      <c r="V331" s="490"/>
      <c r="W331" s="263"/>
      <c r="X331" s="490"/>
      <c r="Y331" s="490"/>
      <c r="Z331" s="263"/>
      <c r="AA331" s="263"/>
      <c r="AB331" s="257"/>
    </row>
    <row r="332" spans="1:28" ht="90" hidden="1">
      <c r="A332" s="253">
        <v>7</v>
      </c>
      <c r="B332" s="276" t="s">
        <v>902</v>
      </c>
      <c r="C332" s="257"/>
      <c r="D332" s="257"/>
      <c r="E332" s="257"/>
      <c r="F332" s="9" t="s">
        <v>19</v>
      </c>
      <c r="G332" s="263">
        <f t="shared" si="189"/>
        <v>4309</v>
      </c>
      <c r="H332" s="295">
        <v>4104</v>
      </c>
      <c r="I332" s="263">
        <v>205</v>
      </c>
      <c r="J332" s="263"/>
      <c r="K332" s="263"/>
      <c r="L332" s="263"/>
      <c r="M332" s="263"/>
      <c r="N332" s="263">
        <f t="shared" si="190"/>
        <v>776</v>
      </c>
      <c r="O332" s="263">
        <v>739</v>
      </c>
      <c r="P332" s="263">
        <v>37</v>
      </c>
      <c r="Q332" s="263"/>
      <c r="R332" s="490"/>
      <c r="S332" s="490"/>
      <c r="T332" s="263"/>
      <c r="U332" s="490"/>
      <c r="V332" s="490"/>
      <c r="W332" s="263"/>
      <c r="X332" s="490"/>
      <c r="Y332" s="490"/>
      <c r="Z332" s="263"/>
      <c r="AA332" s="263"/>
      <c r="AB332" s="257"/>
    </row>
    <row r="333" spans="1:28" ht="90" hidden="1">
      <c r="A333" s="253">
        <v>8</v>
      </c>
      <c r="B333" s="276" t="s">
        <v>903</v>
      </c>
      <c r="C333" s="257"/>
      <c r="D333" s="257"/>
      <c r="E333" s="257"/>
      <c r="F333" s="9" t="s">
        <v>19</v>
      </c>
      <c r="G333" s="263">
        <f t="shared" si="189"/>
        <v>4979</v>
      </c>
      <c r="H333" s="295">
        <v>4742</v>
      </c>
      <c r="I333" s="263">
        <v>237</v>
      </c>
      <c r="J333" s="263"/>
      <c r="K333" s="263"/>
      <c r="L333" s="263"/>
      <c r="M333" s="263"/>
      <c r="N333" s="263">
        <f t="shared" si="190"/>
        <v>896</v>
      </c>
      <c r="O333" s="263">
        <v>853</v>
      </c>
      <c r="P333" s="263">
        <v>43</v>
      </c>
      <c r="Q333" s="263"/>
      <c r="R333" s="490"/>
      <c r="S333" s="490"/>
      <c r="T333" s="263"/>
      <c r="U333" s="490"/>
      <c r="V333" s="490"/>
      <c r="W333" s="263"/>
      <c r="X333" s="490"/>
      <c r="Y333" s="490"/>
      <c r="Z333" s="263"/>
      <c r="AA333" s="263"/>
      <c r="AB333" s="257"/>
    </row>
  </sheetData>
  <mergeCells count="18">
    <mergeCell ref="T5:V5"/>
    <mergeCell ref="AA1:AB1"/>
    <mergeCell ref="AC12:AH12"/>
    <mergeCell ref="A3:AB3"/>
    <mergeCell ref="B10:C10"/>
    <mergeCell ref="A2:AB2"/>
    <mergeCell ref="I4:AB4"/>
    <mergeCell ref="A5:A6"/>
    <mergeCell ref="B5:B6"/>
    <mergeCell ref="C5:C6"/>
    <mergeCell ref="E5:E6"/>
    <mergeCell ref="F5:F6"/>
    <mergeCell ref="G5:J5"/>
    <mergeCell ref="AB5:AB6"/>
    <mergeCell ref="W5:Y5"/>
    <mergeCell ref="K5:M5"/>
    <mergeCell ref="N5:P5"/>
    <mergeCell ref="Q5:S5"/>
  </mergeCells>
  <pageMargins left="0.7" right="0.7" top="0.75" bottom="0.75" header="0.3" footer="0.3"/>
  <pageSetup paperSize="9" scale="83" fitToHeight="0" orientation="landscape" r:id="rId1"/>
  <headerFooter>
    <oddFooter>&amp;C&amp;P</oddFooter>
  </headerFooter>
  <legacyDrawing r:id="rId2"/>
</worksheet>
</file>

<file path=xl/worksheets/sheet7.xml><?xml version="1.0" encoding="utf-8"?>
<worksheet xmlns="http://schemas.openxmlformats.org/spreadsheetml/2006/main" xmlns:r="http://schemas.openxmlformats.org/officeDocument/2006/relationships">
  <dimension ref="A1:Q82"/>
  <sheetViews>
    <sheetView view="pageBreakPreview" zoomScale="60" zoomScaleNormal="70" workbookViewId="0">
      <selection activeCell="A3" sqref="A3:Q3"/>
    </sheetView>
  </sheetViews>
  <sheetFormatPr defaultColWidth="8.85546875" defaultRowHeight="18.75"/>
  <cols>
    <col min="1" max="1" width="5.7109375" style="33" customWidth="1"/>
    <col min="2" max="2" width="40.140625" style="34" customWidth="1"/>
    <col min="3" max="3" width="15.28515625" style="165" customWidth="1"/>
    <col min="4" max="4" width="31.5703125" style="33" customWidth="1"/>
    <col min="5" max="5" width="14.7109375" style="34" customWidth="1"/>
    <col min="6" max="6" width="14.5703125" style="34" customWidth="1"/>
    <col min="7" max="8" width="12.28515625" style="34" customWidth="1"/>
    <col min="9" max="9" width="14.5703125" style="34" customWidth="1"/>
    <col min="10" max="11" width="12.28515625" style="34" customWidth="1"/>
    <col min="12" max="12" width="14.28515625" style="34" customWidth="1"/>
    <col min="13" max="13" width="10.85546875" style="34" bestFit="1" customWidth="1"/>
    <col min="14" max="16384" width="8.85546875" style="34"/>
  </cols>
  <sheetData>
    <row r="1" spans="1:13">
      <c r="A1" s="661" t="s">
        <v>699</v>
      </c>
      <c r="B1" s="661"/>
      <c r="G1" s="662"/>
      <c r="H1" s="662"/>
      <c r="I1" s="165"/>
      <c r="J1" s="165"/>
      <c r="K1" s="165"/>
      <c r="L1" s="165"/>
    </row>
    <row r="2" spans="1:13">
      <c r="A2" s="663" t="s">
        <v>554</v>
      </c>
      <c r="B2" s="663"/>
      <c r="C2" s="663"/>
      <c r="D2" s="663"/>
      <c r="E2" s="663"/>
      <c r="F2" s="663"/>
      <c r="G2" s="663"/>
      <c r="H2" s="663"/>
      <c r="I2" s="663"/>
      <c r="J2" s="663"/>
      <c r="K2" s="663"/>
      <c r="L2" s="663"/>
      <c r="M2" s="663"/>
    </row>
    <row r="3" spans="1:13">
      <c r="A3" s="664" t="s">
        <v>913</v>
      </c>
      <c r="B3" s="664"/>
      <c r="C3" s="664"/>
      <c r="D3" s="664"/>
      <c r="E3" s="664"/>
      <c r="F3" s="664"/>
      <c r="G3" s="664"/>
      <c r="H3" s="664"/>
      <c r="I3" s="664"/>
      <c r="J3" s="664"/>
      <c r="K3" s="664"/>
      <c r="L3" s="664"/>
    </row>
    <row r="4" spans="1:13">
      <c r="F4" s="665" t="s">
        <v>0</v>
      </c>
      <c r="G4" s="665"/>
      <c r="H4" s="665"/>
      <c r="I4" s="665"/>
      <c r="J4" s="665"/>
      <c r="K4" s="665"/>
      <c r="L4" s="665"/>
    </row>
    <row r="5" spans="1:13">
      <c r="A5" s="666" t="s">
        <v>555</v>
      </c>
      <c r="B5" s="666" t="s">
        <v>556</v>
      </c>
      <c r="C5" s="666" t="s">
        <v>557</v>
      </c>
      <c r="D5" s="660" t="s">
        <v>558</v>
      </c>
      <c r="E5" s="660" t="s">
        <v>559</v>
      </c>
      <c r="F5" s="660" t="s">
        <v>560</v>
      </c>
      <c r="G5" s="660"/>
      <c r="H5" s="660"/>
      <c r="I5" s="660" t="s">
        <v>561</v>
      </c>
      <c r="J5" s="660"/>
      <c r="K5" s="660"/>
      <c r="L5" s="660" t="s">
        <v>562</v>
      </c>
    </row>
    <row r="6" spans="1:13">
      <c r="A6" s="666"/>
      <c r="B6" s="666"/>
      <c r="C6" s="666"/>
      <c r="D6" s="660"/>
      <c r="E6" s="660"/>
      <c r="F6" s="660"/>
      <c r="G6" s="660"/>
      <c r="H6" s="660"/>
      <c r="I6" s="660"/>
      <c r="J6" s="660"/>
      <c r="K6" s="660"/>
      <c r="L6" s="660"/>
    </row>
    <row r="7" spans="1:13">
      <c r="A7" s="666"/>
      <c r="B7" s="666"/>
      <c r="C7" s="666"/>
      <c r="D7" s="660"/>
      <c r="E7" s="660"/>
      <c r="F7" s="660"/>
      <c r="G7" s="660"/>
      <c r="H7" s="660"/>
      <c r="I7" s="660"/>
      <c r="J7" s="660"/>
      <c r="K7" s="660"/>
      <c r="L7" s="660"/>
    </row>
    <row r="8" spans="1:13" ht="56.25">
      <c r="A8" s="666"/>
      <c r="B8" s="666"/>
      <c r="C8" s="666"/>
      <c r="D8" s="660"/>
      <c r="E8" s="660"/>
      <c r="F8" s="164" t="s">
        <v>563</v>
      </c>
      <c r="G8" s="35" t="s">
        <v>10</v>
      </c>
      <c r="H8" s="35" t="s">
        <v>11</v>
      </c>
      <c r="I8" s="164" t="s">
        <v>563</v>
      </c>
      <c r="J8" s="35" t="s">
        <v>10</v>
      </c>
      <c r="K8" s="35" t="s">
        <v>11</v>
      </c>
      <c r="L8" s="660"/>
    </row>
    <row r="9" spans="1:13">
      <c r="A9" s="166"/>
      <c r="B9" s="166" t="s">
        <v>13</v>
      </c>
      <c r="C9" s="166"/>
      <c r="D9" s="164"/>
      <c r="E9" s="36">
        <f>E10+E60</f>
        <v>487904</v>
      </c>
      <c r="F9" s="36">
        <f t="shared" ref="F9:K9" si="0">F10+F60</f>
        <v>487904</v>
      </c>
      <c r="G9" s="36">
        <f t="shared" si="0"/>
        <v>473693</v>
      </c>
      <c r="H9" s="36">
        <f t="shared" si="0"/>
        <v>14211</v>
      </c>
      <c r="I9" s="36">
        <f t="shared" si="0"/>
        <v>162022</v>
      </c>
      <c r="J9" s="36">
        <f t="shared" si="0"/>
        <v>157302</v>
      </c>
      <c r="K9" s="36">
        <f t="shared" si="0"/>
        <v>4720</v>
      </c>
      <c r="L9" s="164"/>
    </row>
    <row r="10" spans="1:13" ht="56.25">
      <c r="A10" s="166" t="s">
        <v>48</v>
      </c>
      <c r="B10" s="164" t="s">
        <v>564</v>
      </c>
      <c r="C10" s="166"/>
      <c r="D10" s="164"/>
      <c r="E10" s="36">
        <f>E11+E42</f>
        <v>401320</v>
      </c>
      <c r="F10" s="36">
        <f t="shared" ref="F10:K10" si="1">F11+F42</f>
        <v>401320</v>
      </c>
      <c r="G10" s="36">
        <f t="shared" si="1"/>
        <v>389631</v>
      </c>
      <c r="H10" s="36">
        <f t="shared" si="1"/>
        <v>11689</v>
      </c>
      <c r="I10" s="36">
        <f t="shared" si="1"/>
        <v>138042</v>
      </c>
      <c r="J10" s="36">
        <f t="shared" si="1"/>
        <v>134021</v>
      </c>
      <c r="K10" s="36">
        <f t="shared" si="1"/>
        <v>4021</v>
      </c>
      <c r="L10" s="164"/>
      <c r="M10" s="37"/>
    </row>
    <row r="11" spans="1:13">
      <c r="A11" s="166" t="s">
        <v>14</v>
      </c>
      <c r="B11" s="38" t="s">
        <v>565</v>
      </c>
      <c r="C11" s="39"/>
      <c r="D11" s="166"/>
      <c r="E11" s="40">
        <f>SUM(E12:E41)</f>
        <v>196047</v>
      </c>
      <c r="F11" s="41">
        <f t="shared" ref="F11:F41" si="2">G11+H11</f>
        <v>196047</v>
      </c>
      <c r="G11" s="42">
        <f t="shared" ref="G11:H11" si="3">SUM(G12:G41)</f>
        <v>190337</v>
      </c>
      <c r="H11" s="42">
        <f t="shared" si="3"/>
        <v>5710</v>
      </c>
      <c r="I11" s="41">
        <f t="shared" ref="I11" si="4">J11+K11</f>
        <v>67434</v>
      </c>
      <c r="J11" s="42">
        <f t="shared" ref="J11:K11" si="5">SUM(J12:J41)</f>
        <v>65470</v>
      </c>
      <c r="K11" s="42">
        <f t="shared" si="5"/>
        <v>1964</v>
      </c>
      <c r="L11" s="39"/>
      <c r="M11" s="37"/>
    </row>
    <row r="12" spans="1:13" ht="37.5">
      <c r="A12" s="43">
        <v>1</v>
      </c>
      <c r="B12" s="44" t="s">
        <v>566</v>
      </c>
      <c r="C12" s="43" t="s">
        <v>567</v>
      </c>
      <c r="D12" s="43" t="s">
        <v>568</v>
      </c>
      <c r="E12" s="45">
        <v>7500</v>
      </c>
      <c r="F12" s="46">
        <f>G12+H12</f>
        <v>7500</v>
      </c>
      <c r="G12" s="47">
        <v>7356</v>
      </c>
      <c r="H12" s="47">
        <v>144</v>
      </c>
      <c r="I12" s="46">
        <f>J12+K12</f>
        <v>5514</v>
      </c>
      <c r="J12" s="47">
        <v>5370</v>
      </c>
      <c r="K12" s="47">
        <v>144</v>
      </c>
      <c r="L12" s="48" t="s">
        <v>31</v>
      </c>
    </row>
    <row r="13" spans="1:13" ht="56.25">
      <c r="A13" s="43">
        <v>2</v>
      </c>
      <c r="B13" s="44" t="s">
        <v>569</v>
      </c>
      <c r="C13" s="43" t="s">
        <v>567</v>
      </c>
      <c r="D13" s="43" t="s">
        <v>570</v>
      </c>
      <c r="E13" s="45">
        <v>3000</v>
      </c>
      <c r="F13" s="46">
        <f t="shared" si="2"/>
        <v>3000</v>
      </c>
      <c r="G13" s="47">
        <v>2860</v>
      </c>
      <c r="H13" s="47">
        <v>140</v>
      </c>
      <c r="I13" s="46">
        <f t="shared" ref="I13:I25" si="6">J13+K13</f>
        <v>2240</v>
      </c>
      <c r="J13" s="47">
        <v>2100</v>
      </c>
      <c r="K13" s="47">
        <v>140</v>
      </c>
      <c r="L13" s="48" t="s">
        <v>31</v>
      </c>
    </row>
    <row r="14" spans="1:13" ht="56.25">
      <c r="A14" s="43">
        <v>3</v>
      </c>
      <c r="B14" s="44" t="s">
        <v>571</v>
      </c>
      <c r="C14" s="43" t="s">
        <v>572</v>
      </c>
      <c r="D14" s="43" t="s">
        <v>573</v>
      </c>
      <c r="E14" s="45">
        <v>6500</v>
      </c>
      <c r="F14" s="46">
        <f t="shared" si="2"/>
        <v>6500</v>
      </c>
      <c r="G14" s="47">
        <v>6360</v>
      </c>
      <c r="H14" s="47">
        <v>140</v>
      </c>
      <c r="I14" s="46">
        <f t="shared" si="6"/>
        <v>4790</v>
      </c>
      <c r="J14" s="47">
        <v>4650</v>
      </c>
      <c r="K14" s="47">
        <v>140</v>
      </c>
      <c r="L14" s="48" t="s">
        <v>31</v>
      </c>
    </row>
    <row r="15" spans="1:13" ht="56.25">
      <c r="A15" s="43">
        <v>4</v>
      </c>
      <c r="B15" s="49" t="s">
        <v>574</v>
      </c>
      <c r="C15" s="43" t="s">
        <v>572</v>
      </c>
      <c r="D15" s="43" t="s">
        <v>575</v>
      </c>
      <c r="E15" s="45">
        <v>8500</v>
      </c>
      <c r="F15" s="46">
        <f t="shared" si="2"/>
        <v>8500</v>
      </c>
      <c r="G15" s="47">
        <v>8360</v>
      </c>
      <c r="H15" s="47">
        <v>140</v>
      </c>
      <c r="I15" s="46">
        <f t="shared" si="6"/>
        <v>6240</v>
      </c>
      <c r="J15" s="47">
        <v>6100</v>
      </c>
      <c r="K15" s="47">
        <v>140</v>
      </c>
      <c r="L15" s="48" t="s">
        <v>31</v>
      </c>
    </row>
    <row r="16" spans="1:13" ht="75">
      <c r="A16" s="43">
        <v>5</v>
      </c>
      <c r="B16" s="49" t="s">
        <v>576</v>
      </c>
      <c r="C16" s="43" t="s">
        <v>572</v>
      </c>
      <c r="D16" s="43" t="s">
        <v>577</v>
      </c>
      <c r="E16" s="45">
        <v>6500</v>
      </c>
      <c r="F16" s="46">
        <f t="shared" si="2"/>
        <v>6500</v>
      </c>
      <c r="G16" s="47">
        <v>6360</v>
      </c>
      <c r="H16" s="47">
        <v>140</v>
      </c>
      <c r="I16" s="46">
        <f t="shared" si="6"/>
        <v>5140</v>
      </c>
      <c r="J16" s="47">
        <v>5000</v>
      </c>
      <c r="K16" s="47">
        <v>140</v>
      </c>
      <c r="L16" s="48" t="s">
        <v>31</v>
      </c>
    </row>
    <row r="17" spans="1:12" ht="75">
      <c r="A17" s="43">
        <v>6</v>
      </c>
      <c r="B17" s="49" t="s">
        <v>578</v>
      </c>
      <c r="C17" s="43" t="s">
        <v>572</v>
      </c>
      <c r="D17" s="43" t="s">
        <v>579</v>
      </c>
      <c r="E17" s="45">
        <v>7500</v>
      </c>
      <c r="F17" s="46">
        <f t="shared" si="2"/>
        <v>7500</v>
      </c>
      <c r="G17" s="47">
        <v>7360</v>
      </c>
      <c r="H17" s="47">
        <v>140</v>
      </c>
      <c r="I17" s="46">
        <f t="shared" si="6"/>
        <v>5890</v>
      </c>
      <c r="J17" s="47">
        <v>5750</v>
      </c>
      <c r="K17" s="47">
        <v>140</v>
      </c>
      <c r="L17" s="48" t="s">
        <v>31</v>
      </c>
    </row>
    <row r="18" spans="1:12" ht="37.5">
      <c r="A18" s="43">
        <v>7</v>
      </c>
      <c r="B18" s="50" t="s">
        <v>580</v>
      </c>
      <c r="C18" s="43" t="s">
        <v>581</v>
      </c>
      <c r="D18" s="43" t="s">
        <v>582</v>
      </c>
      <c r="E18" s="45">
        <v>10000</v>
      </c>
      <c r="F18" s="46">
        <f t="shared" si="2"/>
        <v>10000</v>
      </c>
      <c r="G18" s="47">
        <v>9860</v>
      </c>
      <c r="H18" s="47">
        <v>140</v>
      </c>
      <c r="I18" s="46">
        <f t="shared" si="6"/>
        <v>7340</v>
      </c>
      <c r="J18" s="47">
        <v>7200</v>
      </c>
      <c r="K18" s="47">
        <v>140</v>
      </c>
      <c r="L18" s="48" t="s">
        <v>31</v>
      </c>
    </row>
    <row r="19" spans="1:12" ht="93.75">
      <c r="A19" s="43">
        <v>8</v>
      </c>
      <c r="B19" s="44" t="s">
        <v>583</v>
      </c>
      <c r="C19" s="43" t="s">
        <v>584</v>
      </c>
      <c r="D19" s="43" t="s">
        <v>585</v>
      </c>
      <c r="E19" s="45">
        <v>8500</v>
      </c>
      <c r="F19" s="46">
        <f t="shared" si="2"/>
        <v>8500</v>
      </c>
      <c r="G19" s="47">
        <v>8360</v>
      </c>
      <c r="H19" s="47">
        <v>140</v>
      </c>
      <c r="I19" s="46">
        <f t="shared" si="6"/>
        <v>6640</v>
      </c>
      <c r="J19" s="47">
        <v>6500</v>
      </c>
      <c r="K19" s="47">
        <v>140</v>
      </c>
      <c r="L19" s="48" t="s">
        <v>31</v>
      </c>
    </row>
    <row r="20" spans="1:12" ht="56.25">
      <c r="A20" s="43">
        <v>9</v>
      </c>
      <c r="B20" s="44" t="s">
        <v>586</v>
      </c>
      <c r="C20" s="43" t="s">
        <v>587</v>
      </c>
      <c r="D20" s="51" t="s">
        <v>588</v>
      </c>
      <c r="E20" s="45">
        <v>2000</v>
      </c>
      <c r="F20" s="46">
        <f t="shared" si="2"/>
        <v>2000</v>
      </c>
      <c r="G20" s="47">
        <v>1860</v>
      </c>
      <c r="H20" s="47">
        <v>140</v>
      </c>
      <c r="I20" s="46">
        <f t="shared" si="6"/>
        <v>1490</v>
      </c>
      <c r="J20" s="47">
        <v>1350</v>
      </c>
      <c r="K20" s="47">
        <v>140</v>
      </c>
      <c r="L20" s="48" t="s">
        <v>31</v>
      </c>
    </row>
    <row r="21" spans="1:12" ht="56.25">
      <c r="A21" s="43">
        <v>10</v>
      </c>
      <c r="B21" s="44" t="s">
        <v>589</v>
      </c>
      <c r="C21" s="43" t="s">
        <v>590</v>
      </c>
      <c r="D21" s="43" t="s">
        <v>591</v>
      </c>
      <c r="E21" s="45">
        <v>4500</v>
      </c>
      <c r="F21" s="46">
        <f t="shared" si="2"/>
        <v>4500</v>
      </c>
      <c r="G21" s="47">
        <v>4360</v>
      </c>
      <c r="H21" s="47">
        <v>140</v>
      </c>
      <c r="I21" s="46">
        <f t="shared" si="6"/>
        <v>3340</v>
      </c>
      <c r="J21" s="47">
        <v>3200</v>
      </c>
      <c r="K21" s="47">
        <v>140</v>
      </c>
      <c r="L21" s="48" t="s">
        <v>31</v>
      </c>
    </row>
    <row r="22" spans="1:12" ht="37.5">
      <c r="A22" s="43">
        <v>11</v>
      </c>
      <c r="B22" s="44" t="s">
        <v>592</v>
      </c>
      <c r="C22" s="43" t="s">
        <v>590</v>
      </c>
      <c r="D22" s="43" t="s">
        <v>593</v>
      </c>
      <c r="E22" s="45">
        <v>10000</v>
      </c>
      <c r="F22" s="46">
        <f t="shared" si="2"/>
        <v>10000</v>
      </c>
      <c r="G22" s="47">
        <v>9860</v>
      </c>
      <c r="H22" s="47">
        <v>140</v>
      </c>
      <c r="I22" s="46">
        <f t="shared" si="6"/>
        <v>7340</v>
      </c>
      <c r="J22" s="47">
        <v>7200</v>
      </c>
      <c r="K22" s="47">
        <v>140</v>
      </c>
      <c r="L22" s="48" t="s">
        <v>31</v>
      </c>
    </row>
    <row r="23" spans="1:12" ht="56.25">
      <c r="A23" s="43">
        <v>12</v>
      </c>
      <c r="B23" s="44" t="s">
        <v>594</v>
      </c>
      <c r="C23" s="43" t="s">
        <v>567</v>
      </c>
      <c r="D23" s="43" t="s">
        <v>595</v>
      </c>
      <c r="E23" s="45">
        <v>5000</v>
      </c>
      <c r="F23" s="46">
        <f t="shared" si="2"/>
        <v>5000</v>
      </c>
      <c r="G23" s="47">
        <v>4860</v>
      </c>
      <c r="H23" s="47">
        <v>140</v>
      </c>
      <c r="I23" s="46">
        <f t="shared" si="6"/>
        <v>3690</v>
      </c>
      <c r="J23" s="47">
        <v>3550</v>
      </c>
      <c r="K23" s="47">
        <v>140</v>
      </c>
      <c r="L23" s="48" t="s">
        <v>31</v>
      </c>
    </row>
    <row r="24" spans="1:12" ht="37.5">
      <c r="A24" s="43">
        <v>13</v>
      </c>
      <c r="B24" s="44" t="s">
        <v>596</v>
      </c>
      <c r="C24" s="43" t="s">
        <v>581</v>
      </c>
      <c r="D24" s="43" t="s">
        <v>597</v>
      </c>
      <c r="E24" s="45">
        <v>3000</v>
      </c>
      <c r="F24" s="46">
        <f t="shared" si="2"/>
        <v>3000</v>
      </c>
      <c r="G24" s="47">
        <v>2860</v>
      </c>
      <c r="H24" s="47">
        <v>140</v>
      </c>
      <c r="I24" s="46">
        <f t="shared" si="6"/>
        <v>2140</v>
      </c>
      <c r="J24" s="47">
        <v>2000</v>
      </c>
      <c r="K24" s="47">
        <v>140</v>
      </c>
      <c r="L24" s="48" t="s">
        <v>31</v>
      </c>
    </row>
    <row r="25" spans="1:12" ht="56.25">
      <c r="A25" s="43">
        <v>14</v>
      </c>
      <c r="B25" s="44" t="s">
        <v>598</v>
      </c>
      <c r="C25" s="43" t="s">
        <v>59</v>
      </c>
      <c r="D25" s="43" t="s">
        <v>599</v>
      </c>
      <c r="E25" s="45">
        <v>7500</v>
      </c>
      <c r="F25" s="46">
        <f t="shared" si="2"/>
        <v>7500</v>
      </c>
      <c r="G25" s="47">
        <v>7360</v>
      </c>
      <c r="H25" s="47">
        <v>140</v>
      </c>
      <c r="I25" s="46">
        <f t="shared" si="6"/>
        <v>5640</v>
      </c>
      <c r="J25" s="47">
        <v>5500</v>
      </c>
      <c r="K25" s="47">
        <v>140</v>
      </c>
      <c r="L25" s="48" t="s">
        <v>31</v>
      </c>
    </row>
    <row r="26" spans="1:12" ht="56.25">
      <c r="A26" s="43">
        <v>15</v>
      </c>
      <c r="B26" s="44" t="s">
        <v>600</v>
      </c>
      <c r="C26" s="43" t="s">
        <v>601</v>
      </c>
      <c r="D26" s="43" t="s">
        <v>602</v>
      </c>
      <c r="E26" s="45">
        <v>2500</v>
      </c>
      <c r="F26" s="46">
        <f t="shared" si="2"/>
        <v>2500</v>
      </c>
      <c r="G26" s="47">
        <v>2265</v>
      </c>
      <c r="H26" s="47">
        <v>235</v>
      </c>
      <c r="I26" s="46"/>
      <c r="J26" s="47"/>
      <c r="K26" s="47"/>
      <c r="L26" s="48" t="s">
        <v>50</v>
      </c>
    </row>
    <row r="27" spans="1:12" ht="56.25">
      <c r="A27" s="43">
        <v>16</v>
      </c>
      <c r="B27" s="44" t="s">
        <v>603</v>
      </c>
      <c r="C27" s="43" t="s">
        <v>604</v>
      </c>
      <c r="D27" s="43" t="s">
        <v>605</v>
      </c>
      <c r="E27" s="45">
        <v>2500</v>
      </c>
      <c r="F27" s="46">
        <f t="shared" si="2"/>
        <v>2500</v>
      </c>
      <c r="G27" s="47">
        <v>2265</v>
      </c>
      <c r="H27" s="47">
        <v>235</v>
      </c>
      <c r="I27" s="46"/>
      <c r="J27" s="47"/>
      <c r="K27" s="47"/>
      <c r="L27" s="48" t="s">
        <v>50</v>
      </c>
    </row>
    <row r="28" spans="1:12" ht="56.25">
      <c r="A28" s="43">
        <v>17</v>
      </c>
      <c r="B28" s="49" t="s">
        <v>606</v>
      </c>
      <c r="C28" s="43" t="s">
        <v>590</v>
      </c>
      <c r="D28" s="43" t="s">
        <v>607</v>
      </c>
      <c r="E28" s="45">
        <v>5000</v>
      </c>
      <c r="F28" s="46">
        <f t="shared" si="2"/>
        <v>5000</v>
      </c>
      <c r="G28" s="47">
        <v>4765</v>
      </c>
      <c r="H28" s="47">
        <v>235</v>
      </c>
      <c r="I28" s="46"/>
      <c r="J28" s="47"/>
      <c r="K28" s="47"/>
      <c r="L28" s="48" t="s">
        <v>50</v>
      </c>
    </row>
    <row r="29" spans="1:12" ht="56.25">
      <c r="A29" s="43">
        <v>18</v>
      </c>
      <c r="B29" s="44" t="s">
        <v>608</v>
      </c>
      <c r="C29" s="43" t="s">
        <v>572</v>
      </c>
      <c r="D29" s="43" t="s">
        <v>609</v>
      </c>
      <c r="E29" s="45">
        <v>3500</v>
      </c>
      <c r="F29" s="46">
        <f t="shared" si="2"/>
        <v>3500</v>
      </c>
      <c r="G29" s="47">
        <v>3265</v>
      </c>
      <c r="H29" s="47">
        <v>235</v>
      </c>
      <c r="I29" s="46"/>
      <c r="J29" s="47"/>
      <c r="K29" s="47"/>
      <c r="L29" s="48" t="s">
        <v>50</v>
      </c>
    </row>
    <row r="30" spans="1:12" ht="56.25">
      <c r="A30" s="43">
        <v>19</v>
      </c>
      <c r="B30" s="44" t="s">
        <v>610</v>
      </c>
      <c r="C30" s="43" t="s">
        <v>572</v>
      </c>
      <c r="D30" s="43" t="s">
        <v>595</v>
      </c>
      <c r="E30" s="45">
        <v>5000</v>
      </c>
      <c r="F30" s="46">
        <f t="shared" si="2"/>
        <v>5000</v>
      </c>
      <c r="G30" s="47">
        <v>4765</v>
      </c>
      <c r="H30" s="47">
        <v>235</v>
      </c>
      <c r="I30" s="46"/>
      <c r="J30" s="47"/>
      <c r="K30" s="47"/>
      <c r="L30" s="48" t="s">
        <v>50</v>
      </c>
    </row>
    <row r="31" spans="1:12" ht="56.25">
      <c r="A31" s="43">
        <v>20</v>
      </c>
      <c r="B31" s="44" t="s">
        <v>611</v>
      </c>
      <c r="C31" s="43" t="s">
        <v>612</v>
      </c>
      <c r="D31" s="43" t="s">
        <v>613</v>
      </c>
      <c r="E31" s="45">
        <v>10000</v>
      </c>
      <c r="F31" s="46">
        <f t="shared" si="2"/>
        <v>10000</v>
      </c>
      <c r="G31" s="47">
        <v>9765</v>
      </c>
      <c r="H31" s="47">
        <v>235</v>
      </c>
      <c r="I31" s="46"/>
      <c r="J31" s="47"/>
      <c r="K31" s="47"/>
      <c r="L31" s="48" t="s">
        <v>50</v>
      </c>
    </row>
    <row r="32" spans="1:12" ht="37.5">
      <c r="A32" s="43">
        <v>21</v>
      </c>
      <c r="B32" s="44" t="s">
        <v>614</v>
      </c>
      <c r="C32" s="43" t="s">
        <v>572</v>
      </c>
      <c r="D32" s="43" t="s">
        <v>575</v>
      </c>
      <c r="E32" s="45">
        <v>7500</v>
      </c>
      <c r="F32" s="46">
        <f t="shared" si="2"/>
        <v>7500</v>
      </c>
      <c r="G32" s="47">
        <v>7265</v>
      </c>
      <c r="H32" s="47">
        <v>235</v>
      </c>
      <c r="I32" s="46"/>
      <c r="J32" s="47"/>
      <c r="K32" s="47"/>
      <c r="L32" s="48" t="s">
        <v>50</v>
      </c>
    </row>
    <row r="33" spans="1:12" ht="56.25">
      <c r="A33" s="43">
        <v>22</v>
      </c>
      <c r="B33" s="44" t="s">
        <v>615</v>
      </c>
      <c r="C33" s="43" t="s">
        <v>616</v>
      </c>
      <c r="D33" s="43" t="s">
        <v>617</v>
      </c>
      <c r="E33" s="45">
        <v>13500</v>
      </c>
      <c r="F33" s="46">
        <f t="shared" si="2"/>
        <v>13500</v>
      </c>
      <c r="G33" s="47">
        <v>13265</v>
      </c>
      <c r="H33" s="47">
        <v>235</v>
      </c>
      <c r="I33" s="46"/>
      <c r="J33" s="47"/>
      <c r="K33" s="47"/>
      <c r="L33" s="48" t="s">
        <v>50</v>
      </c>
    </row>
    <row r="34" spans="1:12" ht="56.25">
      <c r="A34" s="43">
        <v>23</v>
      </c>
      <c r="B34" s="44" t="s">
        <v>618</v>
      </c>
      <c r="C34" s="43" t="s">
        <v>572</v>
      </c>
      <c r="D34" s="43" t="s">
        <v>619</v>
      </c>
      <c r="E34" s="45">
        <v>8000</v>
      </c>
      <c r="F34" s="46">
        <f t="shared" si="2"/>
        <v>8000</v>
      </c>
      <c r="G34" s="47">
        <v>7765</v>
      </c>
      <c r="H34" s="47">
        <v>235</v>
      </c>
      <c r="I34" s="46"/>
      <c r="J34" s="47"/>
      <c r="K34" s="47"/>
      <c r="L34" s="48" t="s">
        <v>51</v>
      </c>
    </row>
    <row r="35" spans="1:12" ht="37.5">
      <c r="A35" s="43">
        <v>24</v>
      </c>
      <c r="B35" s="52" t="s">
        <v>620</v>
      </c>
      <c r="C35" s="43" t="s">
        <v>584</v>
      </c>
      <c r="D35" s="43" t="s">
        <v>597</v>
      </c>
      <c r="E35" s="45">
        <v>4000</v>
      </c>
      <c r="F35" s="46">
        <f t="shared" si="2"/>
        <v>4000</v>
      </c>
      <c r="G35" s="47">
        <v>3765</v>
      </c>
      <c r="H35" s="47">
        <v>235</v>
      </c>
      <c r="I35" s="46"/>
      <c r="J35" s="47"/>
      <c r="K35" s="47"/>
      <c r="L35" s="48" t="s">
        <v>51</v>
      </c>
    </row>
    <row r="36" spans="1:12" ht="56.25">
      <c r="A36" s="43">
        <v>25</v>
      </c>
      <c r="B36" s="44" t="s">
        <v>621</v>
      </c>
      <c r="C36" s="43" t="s">
        <v>622</v>
      </c>
      <c r="D36" s="43" t="s">
        <v>575</v>
      </c>
      <c r="E36" s="45">
        <v>10000</v>
      </c>
      <c r="F36" s="46">
        <f t="shared" si="2"/>
        <v>10000</v>
      </c>
      <c r="G36" s="47">
        <v>9765</v>
      </c>
      <c r="H36" s="47">
        <v>235</v>
      </c>
      <c r="I36" s="46"/>
      <c r="J36" s="47"/>
      <c r="K36" s="47"/>
      <c r="L36" s="48" t="s">
        <v>51</v>
      </c>
    </row>
    <row r="37" spans="1:12" ht="75">
      <c r="A37" s="43">
        <v>26</v>
      </c>
      <c r="B37" s="44" t="s">
        <v>623</v>
      </c>
      <c r="C37" s="43" t="s">
        <v>624</v>
      </c>
      <c r="D37" s="43" t="s">
        <v>625</v>
      </c>
      <c r="E37" s="45">
        <v>5000</v>
      </c>
      <c r="F37" s="46">
        <f t="shared" si="2"/>
        <v>5000</v>
      </c>
      <c r="G37" s="47">
        <v>4765</v>
      </c>
      <c r="H37" s="47">
        <v>235</v>
      </c>
      <c r="I37" s="46"/>
      <c r="J37" s="47"/>
      <c r="K37" s="47"/>
      <c r="L37" s="48" t="s">
        <v>51</v>
      </c>
    </row>
    <row r="38" spans="1:12" ht="37.5">
      <c r="A38" s="43">
        <v>27</v>
      </c>
      <c r="B38" s="44" t="s">
        <v>626</v>
      </c>
      <c r="C38" s="43" t="s">
        <v>604</v>
      </c>
      <c r="D38" s="43" t="s">
        <v>627</v>
      </c>
      <c r="E38" s="45">
        <v>2000</v>
      </c>
      <c r="F38" s="46">
        <f t="shared" si="2"/>
        <v>2000</v>
      </c>
      <c r="G38" s="47">
        <v>1770</v>
      </c>
      <c r="H38" s="47">
        <v>230</v>
      </c>
      <c r="I38" s="46"/>
      <c r="J38" s="47"/>
      <c r="K38" s="47"/>
      <c r="L38" s="48" t="s">
        <v>51</v>
      </c>
    </row>
    <row r="39" spans="1:12" ht="37.5">
      <c r="A39" s="43">
        <v>28</v>
      </c>
      <c r="B39" s="44" t="s">
        <v>628</v>
      </c>
      <c r="C39" s="43" t="s">
        <v>567</v>
      </c>
      <c r="D39" s="43" t="s">
        <v>629</v>
      </c>
      <c r="E39" s="45">
        <v>6000</v>
      </c>
      <c r="F39" s="46">
        <f t="shared" si="2"/>
        <v>6000</v>
      </c>
      <c r="G39" s="47">
        <v>5770</v>
      </c>
      <c r="H39" s="47">
        <v>230</v>
      </c>
      <c r="I39" s="46"/>
      <c r="J39" s="47"/>
      <c r="K39" s="47"/>
      <c r="L39" s="48" t="s">
        <v>51</v>
      </c>
    </row>
    <row r="40" spans="1:12" ht="56.25">
      <c r="A40" s="43">
        <v>29</v>
      </c>
      <c r="B40" s="44" t="s">
        <v>630</v>
      </c>
      <c r="C40" s="43" t="s">
        <v>631</v>
      </c>
      <c r="D40" s="43" t="s">
        <v>632</v>
      </c>
      <c r="E40" s="45">
        <v>8000</v>
      </c>
      <c r="F40" s="46">
        <f t="shared" si="2"/>
        <v>8000</v>
      </c>
      <c r="G40" s="47">
        <v>7770</v>
      </c>
      <c r="H40" s="47">
        <v>230</v>
      </c>
      <c r="I40" s="46"/>
      <c r="J40" s="47"/>
      <c r="K40" s="47"/>
      <c r="L40" s="48" t="s">
        <v>51</v>
      </c>
    </row>
    <row r="41" spans="1:12" ht="37.5">
      <c r="A41" s="43">
        <v>30</v>
      </c>
      <c r="B41" s="44" t="s">
        <v>633</v>
      </c>
      <c r="C41" s="43" t="s">
        <v>59</v>
      </c>
      <c r="D41" s="43" t="s">
        <v>634</v>
      </c>
      <c r="E41" s="45">
        <v>13547</v>
      </c>
      <c r="F41" s="46">
        <f t="shared" si="2"/>
        <v>13547</v>
      </c>
      <c r="G41" s="47">
        <v>13311</v>
      </c>
      <c r="H41" s="47">
        <v>236</v>
      </c>
      <c r="I41" s="46"/>
      <c r="J41" s="47"/>
      <c r="K41" s="47"/>
      <c r="L41" s="48" t="s">
        <v>51</v>
      </c>
    </row>
    <row r="42" spans="1:12" s="56" customFormat="1" ht="19.5">
      <c r="A42" s="166" t="s">
        <v>34</v>
      </c>
      <c r="B42" s="53" t="s">
        <v>635</v>
      </c>
      <c r="C42" s="54"/>
      <c r="D42" s="54"/>
      <c r="E42" s="55">
        <f>SUM(E43:E59)</f>
        <v>205273</v>
      </c>
      <c r="F42" s="55">
        <f>SUM(F43:F59)</f>
        <v>205273</v>
      </c>
      <c r="G42" s="55">
        <f>SUM(G43:G59)</f>
        <v>199294</v>
      </c>
      <c r="H42" s="55">
        <f>SUM(H43:H59)</f>
        <v>5979</v>
      </c>
      <c r="I42" s="55">
        <f t="shared" ref="I42:K42" si="7">SUM(I43:I59)</f>
        <v>70608</v>
      </c>
      <c r="J42" s="55">
        <f>SUM(J43:J59)</f>
        <v>68551</v>
      </c>
      <c r="K42" s="55">
        <f t="shared" si="7"/>
        <v>2057</v>
      </c>
      <c r="L42" s="55">
        <f>SUM(L43:L58)</f>
        <v>0</v>
      </c>
    </row>
    <row r="43" spans="1:12" ht="168.75">
      <c r="A43" s="57">
        <v>1</v>
      </c>
      <c r="B43" s="58" t="s">
        <v>636</v>
      </c>
      <c r="C43" s="59" t="s">
        <v>546</v>
      </c>
      <c r="D43" s="57" t="s">
        <v>637</v>
      </c>
      <c r="E43" s="60">
        <f>F43</f>
        <v>39294</v>
      </c>
      <c r="F43" s="61">
        <f>G43+H43</f>
        <v>39294</v>
      </c>
      <c r="G43" s="62">
        <v>38294</v>
      </c>
      <c r="H43" s="63">
        <v>1000</v>
      </c>
      <c r="I43" s="61">
        <f>J43+K43</f>
        <v>19008</v>
      </c>
      <c r="J43" s="62">
        <v>18551</v>
      </c>
      <c r="K43" s="63">
        <v>457</v>
      </c>
      <c r="L43" s="57" t="s">
        <v>638</v>
      </c>
    </row>
    <row r="44" spans="1:12" ht="37.5">
      <c r="A44" s="57">
        <v>2</v>
      </c>
      <c r="B44" s="58" t="s">
        <v>639</v>
      </c>
      <c r="C44" s="59" t="s">
        <v>546</v>
      </c>
      <c r="D44" s="59" t="s">
        <v>640</v>
      </c>
      <c r="E44" s="60">
        <f t="shared" ref="E44:E59" si="8">F44</f>
        <v>8200</v>
      </c>
      <c r="F44" s="61">
        <f t="shared" ref="F44:F59" si="9">G44+H44</f>
        <v>8200</v>
      </c>
      <c r="G44" s="62">
        <v>8000</v>
      </c>
      <c r="H44" s="63">
        <v>200</v>
      </c>
      <c r="I44" s="61">
        <f t="shared" ref="I44:I59" si="10">J44+K44</f>
        <v>5000</v>
      </c>
      <c r="J44" s="62">
        <v>5000</v>
      </c>
      <c r="K44" s="63"/>
      <c r="L44" s="57" t="s">
        <v>638</v>
      </c>
    </row>
    <row r="45" spans="1:12" ht="56.25">
      <c r="A45" s="57">
        <v>3</v>
      </c>
      <c r="B45" s="64" t="s">
        <v>641</v>
      </c>
      <c r="C45" s="59" t="s">
        <v>642</v>
      </c>
      <c r="D45" s="57" t="s">
        <v>643</v>
      </c>
      <c r="E45" s="60">
        <f t="shared" si="8"/>
        <v>6379</v>
      </c>
      <c r="F45" s="61">
        <f t="shared" si="9"/>
        <v>6379</v>
      </c>
      <c r="G45" s="62">
        <v>6000</v>
      </c>
      <c r="H45" s="63">
        <v>379</v>
      </c>
      <c r="I45" s="61">
        <f t="shared" si="10"/>
        <v>0</v>
      </c>
      <c r="J45" s="65"/>
      <c r="K45" s="63"/>
      <c r="L45" s="57" t="s">
        <v>638</v>
      </c>
    </row>
    <row r="46" spans="1:12" ht="37.5">
      <c r="A46" s="57">
        <v>4</v>
      </c>
      <c r="B46" s="64" t="s">
        <v>644</v>
      </c>
      <c r="C46" s="59" t="s">
        <v>548</v>
      </c>
      <c r="D46" s="57" t="s">
        <v>645</v>
      </c>
      <c r="E46" s="60">
        <f t="shared" si="8"/>
        <v>10500</v>
      </c>
      <c r="F46" s="61">
        <f t="shared" si="9"/>
        <v>10500</v>
      </c>
      <c r="G46" s="65">
        <v>10000</v>
      </c>
      <c r="H46" s="63">
        <v>500</v>
      </c>
      <c r="I46" s="61">
        <f t="shared" si="10"/>
        <v>8000</v>
      </c>
      <c r="J46" s="65">
        <v>8000</v>
      </c>
      <c r="K46" s="63"/>
      <c r="L46" s="57" t="s">
        <v>638</v>
      </c>
    </row>
    <row r="47" spans="1:12" ht="56.25">
      <c r="A47" s="57">
        <v>5</v>
      </c>
      <c r="B47" s="66" t="s">
        <v>646</v>
      </c>
      <c r="C47" s="59" t="s">
        <v>647</v>
      </c>
      <c r="D47" s="57" t="s">
        <v>648</v>
      </c>
      <c r="E47" s="60">
        <f t="shared" si="8"/>
        <v>3200</v>
      </c>
      <c r="F47" s="61">
        <f t="shared" si="9"/>
        <v>3200</v>
      </c>
      <c r="G47" s="65">
        <v>3000</v>
      </c>
      <c r="H47" s="63">
        <v>200</v>
      </c>
      <c r="I47" s="61">
        <f t="shared" si="10"/>
        <v>2000</v>
      </c>
      <c r="J47" s="65">
        <v>2000</v>
      </c>
      <c r="K47" s="63"/>
      <c r="L47" s="57" t="s">
        <v>638</v>
      </c>
    </row>
    <row r="48" spans="1:12" ht="56.25">
      <c r="A48" s="57">
        <v>6</v>
      </c>
      <c r="B48" s="58" t="s">
        <v>649</v>
      </c>
      <c r="C48" s="59" t="s">
        <v>650</v>
      </c>
      <c r="D48" s="59" t="s">
        <v>651</v>
      </c>
      <c r="E48" s="60">
        <f t="shared" si="8"/>
        <v>33000</v>
      </c>
      <c r="F48" s="61">
        <f t="shared" si="9"/>
        <v>33000</v>
      </c>
      <c r="G48" s="65">
        <v>32000</v>
      </c>
      <c r="H48" s="63">
        <v>1000</v>
      </c>
      <c r="I48" s="61">
        <f t="shared" si="10"/>
        <v>0</v>
      </c>
      <c r="J48" s="65"/>
      <c r="K48" s="63"/>
      <c r="L48" s="57" t="s">
        <v>638</v>
      </c>
    </row>
    <row r="49" spans="1:17" ht="37.5">
      <c r="A49" s="57">
        <v>7</v>
      </c>
      <c r="B49" s="58" t="s">
        <v>652</v>
      </c>
      <c r="C49" s="59" t="s">
        <v>653</v>
      </c>
      <c r="D49" s="59" t="s">
        <v>654</v>
      </c>
      <c r="E49" s="60">
        <f t="shared" si="8"/>
        <v>7500</v>
      </c>
      <c r="F49" s="61">
        <f t="shared" si="9"/>
        <v>7500</v>
      </c>
      <c r="G49" s="65">
        <v>7000</v>
      </c>
      <c r="H49" s="63">
        <v>500</v>
      </c>
      <c r="I49" s="61">
        <f t="shared" si="10"/>
        <v>5300</v>
      </c>
      <c r="J49" s="65">
        <v>5000</v>
      </c>
      <c r="K49" s="63">
        <v>300</v>
      </c>
      <c r="L49" s="57" t="s">
        <v>638</v>
      </c>
    </row>
    <row r="50" spans="1:17" ht="56.25">
      <c r="A50" s="57">
        <v>8</v>
      </c>
      <c r="B50" s="58" t="s">
        <v>655</v>
      </c>
      <c r="C50" s="59" t="s">
        <v>547</v>
      </c>
      <c r="D50" s="59" t="s">
        <v>656</v>
      </c>
      <c r="E50" s="60">
        <f t="shared" si="8"/>
        <v>10000</v>
      </c>
      <c r="F50" s="61">
        <f t="shared" si="9"/>
        <v>10000</v>
      </c>
      <c r="G50" s="65">
        <v>10000</v>
      </c>
      <c r="H50" s="63">
        <v>0</v>
      </c>
      <c r="I50" s="61">
        <f t="shared" si="10"/>
        <v>6000</v>
      </c>
      <c r="J50" s="65">
        <v>6000</v>
      </c>
      <c r="K50" s="63"/>
      <c r="L50" s="57" t="s">
        <v>638</v>
      </c>
    </row>
    <row r="51" spans="1:17" ht="112.5">
      <c r="A51" s="57">
        <v>9</v>
      </c>
      <c r="B51" s="58" t="s">
        <v>657</v>
      </c>
      <c r="C51" s="59" t="s">
        <v>658</v>
      </c>
      <c r="D51" s="59" t="s">
        <v>659</v>
      </c>
      <c r="E51" s="60">
        <f>F51</f>
        <v>14000</v>
      </c>
      <c r="F51" s="61">
        <f t="shared" si="9"/>
        <v>14000</v>
      </c>
      <c r="G51" s="65">
        <v>14000</v>
      </c>
      <c r="H51" s="63">
        <v>0</v>
      </c>
      <c r="I51" s="61">
        <f t="shared" si="10"/>
        <v>0</v>
      </c>
      <c r="J51" s="65"/>
      <c r="K51" s="63"/>
      <c r="L51" s="57" t="s">
        <v>638</v>
      </c>
    </row>
    <row r="52" spans="1:17" ht="37.5">
      <c r="A52" s="57">
        <v>10</v>
      </c>
      <c r="B52" s="64" t="s">
        <v>660</v>
      </c>
      <c r="C52" s="59" t="s">
        <v>545</v>
      </c>
      <c r="D52" s="67" t="s">
        <v>661</v>
      </c>
      <c r="E52" s="60">
        <f t="shared" si="8"/>
        <v>10600</v>
      </c>
      <c r="F52" s="61">
        <f t="shared" si="9"/>
        <v>10600</v>
      </c>
      <c r="G52" s="65">
        <v>10000</v>
      </c>
      <c r="H52" s="63">
        <v>600</v>
      </c>
      <c r="I52" s="61">
        <f t="shared" si="10"/>
        <v>6600</v>
      </c>
      <c r="J52" s="62">
        <v>6000</v>
      </c>
      <c r="K52" s="63">
        <v>600</v>
      </c>
      <c r="L52" s="57" t="s">
        <v>638</v>
      </c>
    </row>
    <row r="53" spans="1:17" ht="56.25">
      <c r="A53" s="57">
        <v>11</v>
      </c>
      <c r="B53" s="58" t="s">
        <v>662</v>
      </c>
      <c r="C53" s="59" t="s">
        <v>663</v>
      </c>
      <c r="D53" s="67" t="s">
        <v>664</v>
      </c>
      <c r="E53" s="60">
        <f t="shared" si="8"/>
        <v>6000</v>
      </c>
      <c r="F53" s="61">
        <f t="shared" si="9"/>
        <v>6000</v>
      </c>
      <c r="G53" s="65">
        <v>6000</v>
      </c>
      <c r="H53" s="63">
        <v>0</v>
      </c>
      <c r="I53" s="61">
        <f t="shared" si="10"/>
        <v>0</v>
      </c>
      <c r="J53" s="65"/>
      <c r="K53" s="63"/>
      <c r="L53" s="57" t="s">
        <v>638</v>
      </c>
    </row>
    <row r="54" spans="1:17" ht="56.25">
      <c r="A54" s="57">
        <v>12</v>
      </c>
      <c r="B54" s="58" t="s">
        <v>665</v>
      </c>
      <c r="C54" s="59" t="s">
        <v>666</v>
      </c>
      <c r="D54" s="67" t="s">
        <v>667</v>
      </c>
      <c r="E54" s="60">
        <f t="shared" si="8"/>
        <v>8300</v>
      </c>
      <c r="F54" s="61">
        <f t="shared" si="9"/>
        <v>8300</v>
      </c>
      <c r="G54" s="65">
        <v>8000</v>
      </c>
      <c r="H54" s="63">
        <v>300</v>
      </c>
      <c r="I54" s="61">
        <f t="shared" si="10"/>
        <v>0</v>
      </c>
      <c r="J54" s="65"/>
      <c r="K54" s="63"/>
      <c r="L54" s="57" t="s">
        <v>638</v>
      </c>
    </row>
    <row r="55" spans="1:17" ht="37.5">
      <c r="A55" s="57">
        <v>13</v>
      </c>
      <c r="B55" s="68" t="s">
        <v>668</v>
      </c>
      <c r="C55" s="69" t="s">
        <v>544</v>
      </c>
      <c r="D55" s="67" t="s">
        <v>669</v>
      </c>
      <c r="E55" s="60">
        <f t="shared" si="8"/>
        <v>5300</v>
      </c>
      <c r="F55" s="61">
        <f t="shared" si="9"/>
        <v>5300</v>
      </c>
      <c r="G55" s="65">
        <v>5000</v>
      </c>
      <c r="H55" s="63">
        <v>300</v>
      </c>
      <c r="I55" s="61">
        <f t="shared" si="10"/>
        <v>0</v>
      </c>
      <c r="J55" s="65"/>
      <c r="K55" s="63"/>
      <c r="L55" s="57" t="s">
        <v>638</v>
      </c>
    </row>
    <row r="56" spans="1:17" ht="56.25">
      <c r="A56" s="57">
        <v>14</v>
      </c>
      <c r="B56" s="58" t="s">
        <v>670</v>
      </c>
      <c r="C56" s="59" t="s">
        <v>671</v>
      </c>
      <c r="D56" s="59" t="s">
        <v>656</v>
      </c>
      <c r="E56" s="60">
        <f t="shared" si="8"/>
        <v>22500</v>
      </c>
      <c r="F56" s="61">
        <f t="shared" si="9"/>
        <v>22500</v>
      </c>
      <c r="G56" s="65">
        <v>22000</v>
      </c>
      <c r="H56" s="63">
        <v>500</v>
      </c>
      <c r="I56" s="61">
        <f t="shared" si="10"/>
        <v>15500</v>
      </c>
      <c r="J56" s="65">
        <v>15000</v>
      </c>
      <c r="K56" s="63">
        <v>500</v>
      </c>
      <c r="L56" s="57" t="s">
        <v>672</v>
      </c>
    </row>
    <row r="57" spans="1:17" ht="56.25">
      <c r="A57" s="57">
        <v>15</v>
      </c>
      <c r="B57" s="58" t="s">
        <v>673</v>
      </c>
      <c r="C57" s="59" t="s">
        <v>674</v>
      </c>
      <c r="D57" s="59" t="s">
        <v>675</v>
      </c>
      <c r="E57" s="60">
        <f t="shared" si="8"/>
        <v>9000</v>
      </c>
      <c r="F57" s="61">
        <f t="shared" si="9"/>
        <v>9000</v>
      </c>
      <c r="G57" s="65">
        <v>9000</v>
      </c>
      <c r="H57" s="63">
        <v>0</v>
      </c>
      <c r="I57" s="61">
        <f t="shared" si="10"/>
        <v>0</v>
      </c>
      <c r="J57" s="65"/>
      <c r="K57" s="63"/>
      <c r="L57" s="57" t="s">
        <v>638</v>
      </c>
      <c r="Q57" s="34">
        <f>30+17+1+9</f>
        <v>57</v>
      </c>
    </row>
    <row r="58" spans="1:17" ht="93.75">
      <c r="A58" s="57">
        <v>16</v>
      </c>
      <c r="B58" s="66" t="s">
        <v>676</v>
      </c>
      <c r="C58" s="59" t="s">
        <v>677</v>
      </c>
      <c r="D58" s="57" t="s">
        <v>678</v>
      </c>
      <c r="E58" s="60">
        <f t="shared" si="8"/>
        <v>3200</v>
      </c>
      <c r="F58" s="61">
        <f t="shared" si="9"/>
        <v>3200</v>
      </c>
      <c r="G58" s="65">
        <v>3000</v>
      </c>
      <c r="H58" s="63">
        <v>200</v>
      </c>
      <c r="I58" s="61">
        <f t="shared" si="10"/>
        <v>3200</v>
      </c>
      <c r="J58" s="65">
        <v>3000</v>
      </c>
      <c r="K58" s="63">
        <v>200</v>
      </c>
      <c r="L58" s="57" t="s">
        <v>638</v>
      </c>
    </row>
    <row r="59" spans="1:17" ht="37.5">
      <c r="A59" s="57">
        <v>17</v>
      </c>
      <c r="B59" s="66" t="s">
        <v>679</v>
      </c>
      <c r="C59" s="59" t="s">
        <v>677</v>
      </c>
      <c r="D59" s="57" t="s">
        <v>680</v>
      </c>
      <c r="E59" s="60">
        <f t="shared" si="8"/>
        <v>8300</v>
      </c>
      <c r="F59" s="61">
        <f t="shared" si="9"/>
        <v>8300</v>
      </c>
      <c r="G59" s="65">
        <v>8000</v>
      </c>
      <c r="H59" s="63">
        <v>300</v>
      </c>
      <c r="I59" s="61">
        <f t="shared" si="10"/>
        <v>0</v>
      </c>
      <c r="J59" s="65"/>
      <c r="K59" s="63"/>
      <c r="L59" s="57" t="s">
        <v>638</v>
      </c>
      <c r="M59" s="70"/>
    </row>
    <row r="60" spans="1:17" s="72" customFormat="1" ht="37.5">
      <c r="A60" s="166" t="s">
        <v>49</v>
      </c>
      <c r="B60" s="164" t="s">
        <v>681</v>
      </c>
      <c r="C60" s="166"/>
      <c r="D60" s="166"/>
      <c r="E60" s="71">
        <f>E61+E63</f>
        <v>86584</v>
      </c>
      <c r="F60" s="71">
        <f t="shared" ref="F60:K60" si="11">F61+F63</f>
        <v>86584</v>
      </c>
      <c r="G60" s="71">
        <f t="shared" si="11"/>
        <v>84062</v>
      </c>
      <c r="H60" s="71">
        <f t="shared" si="11"/>
        <v>2522</v>
      </c>
      <c r="I60" s="71">
        <f t="shared" si="11"/>
        <v>23980</v>
      </c>
      <c r="J60" s="71">
        <f t="shared" si="11"/>
        <v>23281</v>
      </c>
      <c r="K60" s="71">
        <f t="shared" si="11"/>
        <v>699</v>
      </c>
      <c r="L60" s="166"/>
    </row>
    <row r="61" spans="1:17" s="78" customFormat="1" ht="58.5">
      <c r="A61" s="73" t="s">
        <v>682</v>
      </c>
      <c r="B61" s="74" t="s">
        <v>683</v>
      </c>
      <c r="C61" s="75"/>
      <c r="D61" s="73"/>
      <c r="E61" s="76">
        <f>E62</f>
        <v>77228</v>
      </c>
      <c r="F61" s="76">
        <f t="shared" ref="F61:K61" si="12">F62</f>
        <v>77228</v>
      </c>
      <c r="G61" s="76">
        <f t="shared" si="12"/>
        <v>74979</v>
      </c>
      <c r="H61" s="76">
        <f t="shared" si="12"/>
        <v>2249</v>
      </c>
      <c r="I61" s="76">
        <f t="shared" si="12"/>
        <v>23169</v>
      </c>
      <c r="J61" s="76">
        <f t="shared" si="12"/>
        <v>22494</v>
      </c>
      <c r="K61" s="76">
        <f t="shared" si="12"/>
        <v>675</v>
      </c>
      <c r="L61" s="77">
        <f>G42-199294</f>
        <v>0</v>
      </c>
    </row>
    <row r="62" spans="1:17" ht="112.5">
      <c r="A62" s="48">
        <v>1</v>
      </c>
      <c r="B62" s="79" t="s">
        <v>684</v>
      </c>
      <c r="C62" s="59" t="s">
        <v>685</v>
      </c>
      <c r="D62" s="59" t="s">
        <v>686</v>
      </c>
      <c r="E62" s="60">
        <f t="shared" ref="E62" si="13">F62</f>
        <v>77228</v>
      </c>
      <c r="F62" s="46">
        <f>G62+H62</f>
        <v>77228</v>
      </c>
      <c r="G62" s="46">
        <v>74979</v>
      </c>
      <c r="H62" s="46">
        <v>2249</v>
      </c>
      <c r="I62" s="46">
        <f t="shared" ref="I62" si="14">J62+K62</f>
        <v>23169</v>
      </c>
      <c r="J62" s="80">
        <v>22494</v>
      </c>
      <c r="K62" s="80">
        <v>675</v>
      </c>
      <c r="L62" s="48" t="s">
        <v>19</v>
      </c>
    </row>
    <row r="63" spans="1:17" ht="39">
      <c r="A63" s="73" t="s">
        <v>687</v>
      </c>
      <c r="B63" s="81" t="s">
        <v>688</v>
      </c>
      <c r="C63" s="59"/>
      <c r="D63" s="59"/>
      <c r="E63" s="82">
        <f>E64+E81</f>
        <v>9356</v>
      </c>
      <c r="F63" s="82">
        <f t="shared" ref="F63:K63" si="15">F64+F81</f>
        <v>9356</v>
      </c>
      <c r="G63" s="82">
        <f t="shared" si="15"/>
        <v>9083</v>
      </c>
      <c r="H63" s="82">
        <f t="shared" si="15"/>
        <v>273</v>
      </c>
      <c r="I63" s="82">
        <f t="shared" si="15"/>
        <v>811</v>
      </c>
      <c r="J63" s="82">
        <f t="shared" si="15"/>
        <v>787</v>
      </c>
      <c r="K63" s="82">
        <f t="shared" si="15"/>
        <v>24</v>
      </c>
      <c r="L63" s="83"/>
      <c r="M63" s="70"/>
    </row>
    <row r="64" spans="1:17" s="78" customFormat="1" ht="19.5">
      <c r="A64" s="73" t="s">
        <v>14</v>
      </c>
      <c r="B64" s="81" t="s">
        <v>56</v>
      </c>
      <c r="C64" s="84"/>
      <c r="D64" s="84"/>
      <c r="E64" s="82">
        <f>SUM(E66:E80)</f>
        <v>8421</v>
      </c>
      <c r="F64" s="82">
        <f>SUM(F66:F80)</f>
        <v>8421</v>
      </c>
      <c r="G64" s="82">
        <f t="shared" ref="G64:K64" si="16">SUM(G66:G80)</f>
        <v>8175</v>
      </c>
      <c r="H64" s="82">
        <f t="shared" si="16"/>
        <v>246</v>
      </c>
      <c r="I64" s="82">
        <f t="shared" si="16"/>
        <v>730</v>
      </c>
      <c r="J64" s="82">
        <f t="shared" si="16"/>
        <v>708</v>
      </c>
      <c r="K64" s="82">
        <f t="shared" si="16"/>
        <v>22</v>
      </c>
      <c r="L64" s="85"/>
    </row>
    <row r="65" spans="1:12">
      <c r="A65" s="166"/>
      <c r="B65" s="86" t="s">
        <v>21</v>
      </c>
      <c r="C65" s="59"/>
      <c r="D65" s="59"/>
      <c r="E65" s="60"/>
      <c r="F65" s="60"/>
      <c r="G65" s="60"/>
      <c r="H65" s="60"/>
      <c r="I65" s="60"/>
      <c r="J65" s="60"/>
      <c r="K65" s="60"/>
      <c r="L65" s="83"/>
    </row>
    <row r="66" spans="1:12" ht="75">
      <c r="A66" s="48">
        <v>1</v>
      </c>
      <c r="B66" s="79" t="s">
        <v>689</v>
      </c>
      <c r="C66" s="59" t="s">
        <v>21</v>
      </c>
      <c r="D66" s="59" t="s">
        <v>690</v>
      </c>
      <c r="E66" s="60">
        <f>F66</f>
        <v>958</v>
      </c>
      <c r="F66" s="60">
        <f t="shared" ref="F66" si="17">G66+H66</f>
        <v>958</v>
      </c>
      <c r="G66" s="60">
        <v>930</v>
      </c>
      <c r="H66" s="60">
        <v>28</v>
      </c>
      <c r="I66" s="60">
        <f t="shared" ref="I66:I82" si="18">J66+K66</f>
        <v>83</v>
      </c>
      <c r="J66" s="60">
        <v>80</v>
      </c>
      <c r="K66" s="60">
        <v>3</v>
      </c>
      <c r="L66" s="48" t="s">
        <v>19</v>
      </c>
    </row>
    <row r="67" spans="1:12">
      <c r="A67" s="87"/>
      <c r="B67" s="88" t="s">
        <v>23</v>
      </c>
      <c r="C67" s="59"/>
      <c r="D67" s="59"/>
      <c r="E67" s="60"/>
      <c r="F67" s="60"/>
      <c r="G67" s="60"/>
      <c r="H67" s="60"/>
      <c r="I67" s="60">
        <f t="shared" si="18"/>
        <v>0</v>
      </c>
      <c r="J67" s="60"/>
      <c r="K67" s="60"/>
      <c r="L67" s="83"/>
    </row>
    <row r="68" spans="1:12" ht="112.5">
      <c r="A68" s="89">
        <v>2</v>
      </c>
      <c r="B68" s="79" t="s">
        <v>691</v>
      </c>
      <c r="C68" s="59" t="s">
        <v>23</v>
      </c>
      <c r="D68" s="59" t="s">
        <v>690</v>
      </c>
      <c r="E68" s="60">
        <f>F68</f>
        <v>1090</v>
      </c>
      <c r="F68" s="60">
        <f t="shared" ref="F68" si="19">G68+H68</f>
        <v>1090</v>
      </c>
      <c r="G68" s="60">
        <v>1058</v>
      </c>
      <c r="H68" s="60">
        <v>32</v>
      </c>
      <c r="I68" s="60">
        <f t="shared" si="18"/>
        <v>95</v>
      </c>
      <c r="J68" s="60">
        <v>92</v>
      </c>
      <c r="K68" s="60">
        <v>3</v>
      </c>
      <c r="L68" s="48" t="s">
        <v>19</v>
      </c>
    </row>
    <row r="69" spans="1:12">
      <c r="A69" s="90"/>
      <c r="B69" s="91" t="s">
        <v>25</v>
      </c>
      <c r="C69" s="59"/>
      <c r="D69" s="59"/>
      <c r="E69" s="60"/>
      <c r="F69" s="60"/>
      <c r="G69" s="60"/>
      <c r="H69" s="60"/>
      <c r="I69" s="60">
        <f t="shared" si="18"/>
        <v>0</v>
      </c>
      <c r="J69" s="60"/>
      <c r="K69" s="60"/>
      <c r="L69" s="83"/>
    </row>
    <row r="70" spans="1:12" ht="56.25">
      <c r="A70" s="92">
        <v>3</v>
      </c>
      <c r="B70" s="93" t="s">
        <v>692</v>
      </c>
      <c r="C70" s="59" t="s">
        <v>25</v>
      </c>
      <c r="D70" s="59" t="s">
        <v>693</v>
      </c>
      <c r="E70" s="60">
        <f>F70</f>
        <v>1438</v>
      </c>
      <c r="F70" s="60">
        <f t="shared" ref="F70" si="20">G70+H70</f>
        <v>1438</v>
      </c>
      <c r="G70" s="60">
        <v>1396</v>
      </c>
      <c r="H70" s="60">
        <v>42</v>
      </c>
      <c r="I70" s="60">
        <f t="shared" si="18"/>
        <v>125</v>
      </c>
      <c r="J70" s="60">
        <v>121</v>
      </c>
      <c r="K70" s="60">
        <v>4</v>
      </c>
      <c r="L70" s="48" t="s">
        <v>19</v>
      </c>
    </row>
    <row r="71" spans="1:12">
      <c r="A71" s="87"/>
      <c r="B71" s="94" t="s">
        <v>18</v>
      </c>
      <c r="C71" s="59"/>
      <c r="D71" s="59"/>
      <c r="E71" s="60"/>
      <c r="F71" s="60"/>
      <c r="G71" s="60"/>
      <c r="H71" s="60"/>
      <c r="I71" s="60">
        <f t="shared" si="18"/>
        <v>0</v>
      </c>
      <c r="J71" s="60"/>
      <c r="K71" s="60"/>
      <c r="L71" s="83"/>
    </row>
    <row r="72" spans="1:12" ht="37.5">
      <c r="A72" s="48">
        <v>4</v>
      </c>
      <c r="B72" s="95" t="s">
        <v>694</v>
      </c>
      <c r="C72" s="59" t="s">
        <v>18</v>
      </c>
      <c r="D72" s="59" t="s">
        <v>693</v>
      </c>
      <c r="E72" s="60">
        <f>F72</f>
        <v>934</v>
      </c>
      <c r="F72" s="60">
        <f t="shared" ref="F72" si="21">G72+H72</f>
        <v>934</v>
      </c>
      <c r="G72" s="60">
        <v>907</v>
      </c>
      <c r="H72" s="60">
        <v>27</v>
      </c>
      <c r="I72" s="60">
        <f t="shared" si="18"/>
        <v>81</v>
      </c>
      <c r="J72" s="60">
        <v>79</v>
      </c>
      <c r="K72" s="60">
        <v>2</v>
      </c>
      <c r="L72" s="48" t="s">
        <v>19</v>
      </c>
    </row>
    <row r="73" spans="1:12">
      <c r="A73" s="87"/>
      <c r="B73" s="88" t="s">
        <v>24</v>
      </c>
      <c r="C73" s="96"/>
      <c r="D73" s="48"/>
      <c r="E73" s="60"/>
      <c r="F73" s="60"/>
      <c r="G73" s="60"/>
      <c r="H73" s="60"/>
      <c r="I73" s="60">
        <f t="shared" si="18"/>
        <v>0</v>
      </c>
      <c r="J73" s="60"/>
      <c r="K73" s="60"/>
      <c r="L73" s="83"/>
    </row>
    <row r="74" spans="1:12" ht="112.5">
      <c r="A74" s="97">
        <v>5</v>
      </c>
      <c r="B74" s="98" t="s">
        <v>691</v>
      </c>
      <c r="C74" s="89" t="s">
        <v>24</v>
      </c>
      <c r="D74" s="89" t="s">
        <v>690</v>
      </c>
      <c r="E74" s="60">
        <f>F74</f>
        <v>1324</v>
      </c>
      <c r="F74" s="60">
        <f t="shared" ref="F74" si="22">G74+H74</f>
        <v>1324</v>
      </c>
      <c r="G74" s="60">
        <v>1285</v>
      </c>
      <c r="H74" s="60">
        <v>39</v>
      </c>
      <c r="I74" s="60">
        <f t="shared" si="18"/>
        <v>114</v>
      </c>
      <c r="J74" s="60">
        <v>111</v>
      </c>
      <c r="K74" s="60">
        <v>3</v>
      </c>
      <c r="L74" s="48" t="s">
        <v>19</v>
      </c>
    </row>
    <row r="75" spans="1:12">
      <c r="A75" s="90"/>
      <c r="B75" s="91" t="s">
        <v>20</v>
      </c>
      <c r="C75" s="96"/>
      <c r="D75" s="89"/>
      <c r="E75" s="60"/>
      <c r="F75" s="60"/>
      <c r="G75" s="60"/>
      <c r="H75" s="60"/>
      <c r="I75" s="60">
        <f t="shared" si="18"/>
        <v>0</v>
      </c>
      <c r="J75" s="60"/>
      <c r="K75" s="60"/>
      <c r="L75" s="83"/>
    </row>
    <row r="76" spans="1:12" ht="112.5">
      <c r="A76" s="48">
        <v>6</v>
      </c>
      <c r="B76" s="99" t="s">
        <v>695</v>
      </c>
      <c r="C76" s="89" t="s">
        <v>20</v>
      </c>
      <c r="D76" s="89" t="s">
        <v>690</v>
      </c>
      <c r="E76" s="60">
        <f>F76</f>
        <v>1054</v>
      </c>
      <c r="F76" s="60">
        <f t="shared" ref="F76" si="23">G76+H76</f>
        <v>1054</v>
      </c>
      <c r="G76" s="60">
        <v>1023</v>
      </c>
      <c r="H76" s="60">
        <v>31</v>
      </c>
      <c r="I76" s="60">
        <f t="shared" si="18"/>
        <v>92</v>
      </c>
      <c r="J76" s="60">
        <v>89</v>
      </c>
      <c r="K76" s="60">
        <v>3</v>
      </c>
      <c r="L76" s="48" t="s">
        <v>19</v>
      </c>
    </row>
    <row r="77" spans="1:12">
      <c r="A77" s="87"/>
      <c r="B77" s="100" t="s">
        <v>22</v>
      </c>
      <c r="C77" s="96"/>
      <c r="D77" s="48"/>
      <c r="E77" s="60"/>
      <c r="F77" s="60"/>
      <c r="G77" s="60"/>
      <c r="H77" s="60"/>
      <c r="I77" s="60">
        <f t="shared" si="18"/>
        <v>0</v>
      </c>
      <c r="J77" s="60"/>
      <c r="K77" s="60"/>
      <c r="L77" s="83"/>
    </row>
    <row r="78" spans="1:12" ht="56.25">
      <c r="A78" s="48">
        <v>7</v>
      </c>
      <c r="B78" s="79" t="s">
        <v>696</v>
      </c>
      <c r="C78" s="89" t="s">
        <v>22</v>
      </c>
      <c r="D78" s="59" t="s">
        <v>693</v>
      </c>
      <c r="E78" s="60">
        <f>F78</f>
        <v>857</v>
      </c>
      <c r="F78" s="60">
        <f t="shared" ref="F78" si="24">G78+H78</f>
        <v>857</v>
      </c>
      <c r="G78" s="60">
        <v>832</v>
      </c>
      <c r="H78" s="60">
        <v>25</v>
      </c>
      <c r="I78" s="60">
        <f t="shared" si="18"/>
        <v>74</v>
      </c>
      <c r="J78" s="60">
        <v>72</v>
      </c>
      <c r="K78" s="60">
        <v>2</v>
      </c>
      <c r="L78" s="48" t="s">
        <v>19</v>
      </c>
    </row>
    <row r="79" spans="1:12">
      <c r="A79" s="166"/>
      <c r="B79" s="101" t="s">
        <v>685</v>
      </c>
      <c r="C79" s="96"/>
      <c r="D79" s="48"/>
      <c r="E79" s="60"/>
      <c r="F79" s="60"/>
      <c r="G79" s="60"/>
      <c r="H79" s="60"/>
      <c r="I79" s="60">
        <f t="shared" si="18"/>
        <v>0</v>
      </c>
      <c r="J79" s="60"/>
      <c r="K79" s="60"/>
      <c r="L79" s="83"/>
    </row>
    <row r="80" spans="1:12" ht="56.25">
      <c r="A80" s="48">
        <v>8</v>
      </c>
      <c r="B80" s="79" t="s">
        <v>696</v>
      </c>
      <c r="C80" s="89" t="s">
        <v>685</v>
      </c>
      <c r="D80" s="59" t="s">
        <v>693</v>
      </c>
      <c r="E80" s="60">
        <f>F80</f>
        <v>766</v>
      </c>
      <c r="F80" s="60">
        <f t="shared" ref="F80:F82" si="25">G80+H80</f>
        <v>766</v>
      </c>
      <c r="G80" s="60">
        <v>744</v>
      </c>
      <c r="H80" s="60">
        <v>22</v>
      </c>
      <c r="I80" s="60">
        <f t="shared" si="18"/>
        <v>66</v>
      </c>
      <c r="J80" s="60">
        <v>64</v>
      </c>
      <c r="K80" s="60">
        <v>2</v>
      </c>
      <c r="L80" s="48" t="s">
        <v>19</v>
      </c>
    </row>
    <row r="81" spans="1:13" s="78" customFormat="1" ht="19.5">
      <c r="A81" s="73" t="s">
        <v>34</v>
      </c>
      <c r="B81" s="85" t="s">
        <v>697</v>
      </c>
      <c r="C81" s="75"/>
      <c r="D81" s="73"/>
      <c r="E81" s="102">
        <f>E82</f>
        <v>935</v>
      </c>
      <c r="F81" s="102">
        <f t="shared" ref="F81:K81" si="26">F82</f>
        <v>935</v>
      </c>
      <c r="G81" s="102">
        <f t="shared" si="26"/>
        <v>908</v>
      </c>
      <c r="H81" s="102">
        <f t="shared" si="26"/>
        <v>27</v>
      </c>
      <c r="I81" s="102">
        <f t="shared" si="26"/>
        <v>81</v>
      </c>
      <c r="J81" s="102">
        <f t="shared" si="26"/>
        <v>79</v>
      </c>
      <c r="K81" s="102">
        <f t="shared" si="26"/>
        <v>2</v>
      </c>
      <c r="L81" s="85"/>
      <c r="M81" s="34"/>
    </row>
    <row r="82" spans="1:13" ht="37.5">
      <c r="A82" s="48">
        <v>1</v>
      </c>
      <c r="B82" s="103" t="s">
        <v>698</v>
      </c>
      <c r="C82" s="89" t="s">
        <v>42</v>
      </c>
      <c r="D82" s="59" t="s">
        <v>693</v>
      </c>
      <c r="E82" s="60">
        <f>F82</f>
        <v>935</v>
      </c>
      <c r="F82" s="60">
        <f t="shared" si="25"/>
        <v>935</v>
      </c>
      <c r="G82" s="60">
        <v>908</v>
      </c>
      <c r="H82" s="60">
        <v>27</v>
      </c>
      <c r="I82" s="60">
        <f t="shared" si="18"/>
        <v>81</v>
      </c>
      <c r="J82" s="60">
        <v>79</v>
      </c>
      <c r="K82" s="60">
        <v>2</v>
      </c>
      <c r="L82" s="48" t="s">
        <v>19</v>
      </c>
    </row>
  </sheetData>
  <mergeCells count="13">
    <mergeCell ref="F5:H7"/>
    <mergeCell ref="I5:K7"/>
    <mergeCell ref="L5:L8"/>
    <mergeCell ref="A1:B1"/>
    <mergeCell ref="G1:H1"/>
    <mergeCell ref="A2:M2"/>
    <mergeCell ref="A3:L3"/>
    <mergeCell ref="F4:L4"/>
    <mergeCell ref="A5:A8"/>
    <mergeCell ref="B5:B8"/>
    <mergeCell ref="C5:C8"/>
    <mergeCell ref="D5:D8"/>
    <mergeCell ref="E5:E8"/>
  </mergeCells>
  <pageMargins left="0.7" right="0.7" top="0.75" bottom="0.75" header="0.3" footer="0.3"/>
  <pageSetup paperSize="9" scale="53" orientation="landscape" verticalDpi="0" r:id="rId1"/>
</worksheet>
</file>

<file path=xl/worksheets/sheet8.xml><?xml version="1.0" encoding="utf-8"?>
<worksheet xmlns="http://schemas.openxmlformats.org/spreadsheetml/2006/main" xmlns:r="http://schemas.openxmlformats.org/officeDocument/2006/relationships">
  <dimension ref="A1:V82"/>
  <sheetViews>
    <sheetView view="pageBreakPreview" topLeftCell="C1" zoomScale="70" zoomScaleNormal="85" zoomScaleSheetLayoutView="70" workbookViewId="0">
      <selection activeCell="A3" sqref="A3:Q3"/>
    </sheetView>
  </sheetViews>
  <sheetFormatPr defaultColWidth="8.85546875" defaultRowHeight="18.75"/>
  <cols>
    <col min="1" max="1" width="11.42578125" style="230" customWidth="1"/>
    <col min="2" max="2" width="65.85546875" style="231" customWidth="1"/>
    <col min="3" max="3" width="23.140625" style="232" customWidth="1"/>
    <col min="4" max="4" width="17.7109375" style="232" customWidth="1"/>
    <col min="5" max="5" width="16" style="232" customWidth="1"/>
    <col min="6" max="6" width="19.42578125" style="232" customWidth="1"/>
    <col min="7" max="7" width="20" style="174" customWidth="1"/>
    <col min="8" max="8" width="18" style="174" customWidth="1"/>
    <col min="9" max="9" width="15.28515625" style="174" customWidth="1"/>
    <col min="10" max="10" width="17.7109375" style="174" customWidth="1"/>
    <col min="11" max="11" width="14.42578125" style="174" customWidth="1"/>
    <col min="12" max="12" width="16.140625" style="174" customWidth="1"/>
    <col min="13" max="13" width="17.7109375" style="174" customWidth="1"/>
    <col min="14" max="14" width="17" style="174" customWidth="1"/>
    <col min="15" max="15" width="17.42578125" style="174" customWidth="1"/>
    <col min="16" max="16" width="19.85546875" style="174" customWidth="1"/>
    <col min="17" max="17" width="16.7109375" style="174" customWidth="1"/>
    <col min="18" max="18" width="17.42578125" style="174" customWidth="1"/>
    <col min="19" max="19" width="17.7109375" style="174" customWidth="1"/>
    <col min="20" max="20" width="0" style="175" hidden="1" customWidth="1"/>
    <col min="21" max="16384" width="8.85546875" style="174"/>
  </cols>
  <sheetData>
    <row r="1" spans="1:22">
      <c r="A1" s="672" t="s">
        <v>831</v>
      </c>
      <c r="B1" s="672"/>
      <c r="C1" s="672"/>
      <c r="D1" s="672"/>
      <c r="E1" s="672"/>
      <c r="F1" s="672"/>
      <c r="G1" s="173"/>
      <c r="H1" s="173"/>
      <c r="I1" s="173"/>
      <c r="J1" s="173"/>
      <c r="K1" s="173"/>
      <c r="L1" s="173"/>
      <c r="M1" s="173"/>
      <c r="N1" s="173"/>
      <c r="O1" s="173"/>
      <c r="P1" s="173"/>
      <c r="Q1" s="173"/>
      <c r="R1" s="173"/>
    </row>
    <row r="2" spans="1:22">
      <c r="A2" s="640" t="s">
        <v>700</v>
      </c>
      <c r="B2" s="640"/>
      <c r="C2" s="640"/>
      <c r="D2" s="640"/>
      <c r="E2" s="640"/>
      <c r="F2" s="640"/>
      <c r="G2" s="640"/>
      <c r="H2" s="640"/>
      <c r="I2" s="640"/>
      <c r="J2" s="640"/>
      <c r="K2" s="640"/>
      <c r="L2" s="640"/>
      <c r="M2" s="640"/>
      <c r="N2" s="640"/>
      <c r="O2" s="640"/>
      <c r="P2" s="640"/>
      <c r="Q2" s="640"/>
      <c r="R2" s="640"/>
      <c r="S2" s="640"/>
    </row>
    <row r="3" spans="1:22">
      <c r="A3" s="673" t="s">
        <v>913</v>
      </c>
      <c r="B3" s="673"/>
      <c r="C3" s="673"/>
      <c r="D3" s="673"/>
      <c r="E3" s="673"/>
      <c r="F3" s="673"/>
      <c r="G3" s="673"/>
      <c r="H3" s="673"/>
      <c r="I3" s="673"/>
      <c r="J3" s="673"/>
      <c r="K3" s="673"/>
      <c r="L3" s="673"/>
      <c r="M3" s="673"/>
      <c r="N3" s="673"/>
      <c r="O3" s="673"/>
      <c r="P3" s="673"/>
      <c r="Q3" s="673"/>
      <c r="R3" s="673"/>
      <c r="S3" s="673"/>
    </row>
    <row r="4" spans="1:22">
      <c r="A4" s="176"/>
      <c r="B4" s="177"/>
      <c r="C4" s="178"/>
      <c r="D4" s="300">
        <f>+D10+E10</f>
        <v>27719.999999999993</v>
      </c>
      <c r="E4" s="178"/>
      <c r="F4" s="300">
        <f>+H10+I10+L10+M10+P10+Q10</f>
        <v>27719.999999999996</v>
      </c>
      <c r="G4" s="179"/>
      <c r="H4" s="317">
        <f>+H10+L10+P10</f>
        <v>26327.999999999996</v>
      </c>
      <c r="I4" s="179"/>
      <c r="J4" s="179"/>
      <c r="K4" s="179"/>
      <c r="L4" s="179"/>
      <c r="M4" s="179"/>
      <c r="N4" s="179"/>
      <c r="O4" s="179"/>
      <c r="P4" s="665" t="s">
        <v>0</v>
      </c>
      <c r="Q4" s="665"/>
      <c r="R4" s="665"/>
      <c r="S4" s="665"/>
      <c r="T4" s="180"/>
      <c r="U4" s="180"/>
      <c r="V4" s="180"/>
    </row>
    <row r="5" spans="1:22">
      <c r="A5" s="674" t="s">
        <v>555</v>
      </c>
      <c r="B5" s="677" t="s">
        <v>701</v>
      </c>
      <c r="C5" s="669" t="s">
        <v>702</v>
      </c>
      <c r="D5" s="670"/>
      <c r="E5" s="670"/>
      <c r="F5" s="670"/>
      <c r="G5" s="670"/>
      <c r="H5" s="670"/>
      <c r="I5" s="670"/>
      <c r="J5" s="670"/>
      <c r="K5" s="670"/>
      <c r="L5" s="670"/>
      <c r="M5" s="670"/>
      <c r="N5" s="670"/>
      <c r="O5" s="670"/>
      <c r="P5" s="670"/>
      <c r="Q5" s="670"/>
      <c r="R5" s="671"/>
      <c r="S5" s="680" t="s">
        <v>8</v>
      </c>
    </row>
    <row r="6" spans="1:22">
      <c r="A6" s="675"/>
      <c r="B6" s="678"/>
      <c r="C6" s="667" t="s">
        <v>776</v>
      </c>
      <c r="D6" s="684" t="s">
        <v>703</v>
      </c>
      <c r="E6" s="685"/>
      <c r="F6" s="686"/>
      <c r="G6" s="669" t="s">
        <v>777</v>
      </c>
      <c r="H6" s="670"/>
      <c r="I6" s="670"/>
      <c r="J6" s="670"/>
      <c r="K6" s="670"/>
      <c r="L6" s="670"/>
      <c r="M6" s="670"/>
      <c r="N6" s="670"/>
      <c r="O6" s="670"/>
      <c r="P6" s="670"/>
      <c r="Q6" s="670"/>
      <c r="R6" s="671"/>
      <c r="S6" s="681"/>
    </row>
    <row r="7" spans="1:22">
      <c r="A7" s="675"/>
      <c r="B7" s="678"/>
      <c r="C7" s="683"/>
      <c r="D7" s="687"/>
      <c r="E7" s="640"/>
      <c r="F7" s="688"/>
      <c r="G7" s="669" t="s">
        <v>704</v>
      </c>
      <c r="H7" s="670"/>
      <c r="I7" s="670"/>
      <c r="J7" s="671"/>
      <c r="K7" s="669" t="s">
        <v>52</v>
      </c>
      <c r="L7" s="670"/>
      <c r="M7" s="670"/>
      <c r="N7" s="671"/>
      <c r="O7" s="669" t="s">
        <v>705</v>
      </c>
      <c r="P7" s="670"/>
      <c r="Q7" s="670"/>
      <c r="R7" s="671"/>
      <c r="S7" s="681"/>
    </row>
    <row r="8" spans="1:22">
      <c r="A8" s="675"/>
      <c r="B8" s="678"/>
      <c r="C8" s="683"/>
      <c r="D8" s="689"/>
      <c r="E8" s="690"/>
      <c r="F8" s="691"/>
      <c r="G8" s="667" t="s">
        <v>9</v>
      </c>
      <c r="H8" s="669" t="s">
        <v>703</v>
      </c>
      <c r="I8" s="670"/>
      <c r="J8" s="671"/>
      <c r="K8" s="667" t="s">
        <v>9</v>
      </c>
      <c r="L8" s="669" t="s">
        <v>703</v>
      </c>
      <c r="M8" s="670"/>
      <c r="N8" s="671"/>
      <c r="O8" s="667" t="s">
        <v>9</v>
      </c>
      <c r="P8" s="669" t="s">
        <v>703</v>
      </c>
      <c r="Q8" s="670"/>
      <c r="R8" s="671"/>
      <c r="S8" s="681"/>
    </row>
    <row r="9" spans="1:22" ht="56.25">
      <c r="A9" s="676"/>
      <c r="B9" s="679"/>
      <c r="C9" s="668"/>
      <c r="D9" s="181" t="s">
        <v>706</v>
      </c>
      <c r="E9" s="181" t="s">
        <v>707</v>
      </c>
      <c r="F9" s="181" t="s">
        <v>708</v>
      </c>
      <c r="G9" s="668"/>
      <c r="H9" s="181" t="s">
        <v>706</v>
      </c>
      <c r="I9" s="181" t="s">
        <v>707</v>
      </c>
      <c r="J9" s="181" t="s">
        <v>708</v>
      </c>
      <c r="K9" s="668"/>
      <c r="L9" s="181" t="s">
        <v>706</v>
      </c>
      <c r="M9" s="181" t="s">
        <v>707</v>
      </c>
      <c r="N9" s="181" t="s">
        <v>708</v>
      </c>
      <c r="O9" s="668"/>
      <c r="P9" s="181" t="s">
        <v>706</v>
      </c>
      <c r="Q9" s="181" t="s">
        <v>707</v>
      </c>
      <c r="R9" s="181" t="s">
        <v>708</v>
      </c>
      <c r="S9" s="682"/>
    </row>
    <row r="10" spans="1:22" s="225" customFormat="1">
      <c r="A10" s="182"/>
      <c r="B10" s="183" t="s">
        <v>715</v>
      </c>
      <c r="C10" s="184">
        <f>C11+C22+C25+C29+C37+C39+C43+C49+C57+C61+C64+C67+C69+C72+C75</f>
        <v>37236.910082980554</v>
      </c>
      <c r="D10" s="314">
        <f>D11+D22+D25+D29+D37+D39+D43+D49+D57+D61+D64+D67+D69+D72+D75</f>
        <v>26327.999999999993</v>
      </c>
      <c r="E10" s="301">
        <f>+E11+E22+E25+E29+E37+E39+E43+E49+E57+E61+E64+E67+E69+E72+E75</f>
        <v>1392.0000000000002</v>
      </c>
      <c r="F10" s="184">
        <f t="shared" ref="F10:R10" si="0">+F11+F22+F25+F29+F37+F39+F43+F49+F57+F61+F64+F67+F69+F72+F75</f>
        <v>9516.8100829805626</v>
      </c>
      <c r="G10" s="184">
        <f t="shared" si="0"/>
        <v>33377.266326530611</v>
      </c>
      <c r="H10" s="303">
        <f t="shared" si="0"/>
        <v>23397.999999999996</v>
      </c>
      <c r="I10" s="301">
        <f t="shared" si="0"/>
        <v>1234</v>
      </c>
      <c r="J10" s="184">
        <f>+J11+J22+J25+J29+J37+J39+J43+J49+J57+J61+J64+J67+J69+J72+J75</f>
        <v>8745.2663265306146</v>
      </c>
      <c r="K10" s="184">
        <f t="shared" si="0"/>
        <v>499.7</v>
      </c>
      <c r="L10" s="301">
        <f t="shared" si="0"/>
        <v>419</v>
      </c>
      <c r="M10" s="301">
        <f t="shared" si="0"/>
        <v>21</v>
      </c>
      <c r="N10" s="184">
        <f t="shared" si="0"/>
        <v>59.7</v>
      </c>
      <c r="O10" s="184">
        <f>+O11+O22+O25+O29+O37+O39+O43+O49+O57+O61+O64+O67+O69+O72+O75</f>
        <v>3359.9437564499485</v>
      </c>
      <c r="P10" s="301">
        <f t="shared" si="0"/>
        <v>2511</v>
      </c>
      <c r="Q10" s="301">
        <f t="shared" si="0"/>
        <v>137</v>
      </c>
      <c r="R10" s="184">
        <f t="shared" si="0"/>
        <v>711.94375644994852</v>
      </c>
      <c r="S10" s="185"/>
      <c r="T10" s="186">
        <v>1</v>
      </c>
    </row>
    <row r="11" spans="1:22" s="226" customFormat="1">
      <c r="A11" s="187" t="s">
        <v>34</v>
      </c>
      <c r="B11" s="279" t="s">
        <v>716</v>
      </c>
      <c r="C11" s="188">
        <f>SUM(C12:C21)</f>
        <v>4473.5437564499489</v>
      </c>
      <c r="D11" s="304">
        <f t="shared" ref="D11:R11" si="1">SUM(D12:D21)</f>
        <v>3360.9</v>
      </c>
      <c r="E11" s="188">
        <f t="shared" si="1"/>
        <v>179</v>
      </c>
      <c r="F11" s="188">
        <f t="shared" si="1"/>
        <v>933.54375644994866</v>
      </c>
      <c r="G11" s="188">
        <f t="shared" si="1"/>
        <v>613.9</v>
      </c>
      <c r="H11" s="304">
        <f t="shared" si="1"/>
        <v>430.9</v>
      </c>
      <c r="I11" s="188">
        <f>SUM(I12:I21)</f>
        <v>21</v>
      </c>
      <c r="J11" s="188">
        <f>SUM(J12:J21)</f>
        <v>162</v>
      </c>
      <c r="K11" s="188">
        <f t="shared" si="1"/>
        <v>499.7</v>
      </c>
      <c r="L11" s="188">
        <f t="shared" si="1"/>
        <v>419</v>
      </c>
      <c r="M11" s="188">
        <f t="shared" si="1"/>
        <v>21</v>
      </c>
      <c r="N11" s="188">
        <f t="shared" si="1"/>
        <v>59.7</v>
      </c>
      <c r="O11" s="188">
        <f t="shared" si="1"/>
        <v>3359.9437564499485</v>
      </c>
      <c r="P11" s="188">
        <f t="shared" si="1"/>
        <v>2511</v>
      </c>
      <c r="Q11" s="188">
        <f t="shared" si="1"/>
        <v>137</v>
      </c>
      <c r="R11" s="188">
        <f t="shared" si="1"/>
        <v>711.94375644994852</v>
      </c>
      <c r="S11" s="189"/>
      <c r="T11" s="190">
        <v>2</v>
      </c>
    </row>
    <row r="12" spans="1:22" s="226" customFormat="1">
      <c r="A12" s="191">
        <v>1</v>
      </c>
      <c r="B12" s="192" t="s">
        <v>717</v>
      </c>
      <c r="C12" s="193">
        <f>D12+E12+F12</f>
        <v>613.9</v>
      </c>
      <c r="D12" s="315">
        <f>H12+L12+P12</f>
        <v>430.9</v>
      </c>
      <c r="E12" s="193">
        <f t="shared" ref="C12:F21" si="2">I12+M12+Q12</f>
        <v>21</v>
      </c>
      <c r="F12" s="193">
        <f t="shared" si="2"/>
        <v>162</v>
      </c>
      <c r="G12" s="189">
        <f>SUM(H12:J12)</f>
        <v>613.9</v>
      </c>
      <c r="H12" s="305">
        <v>430.9</v>
      </c>
      <c r="I12" s="189">
        <v>21</v>
      </c>
      <c r="J12" s="189">
        <v>162</v>
      </c>
      <c r="K12" s="189"/>
      <c r="L12" s="189"/>
      <c r="M12" s="189"/>
      <c r="N12" s="189"/>
      <c r="O12" s="189"/>
      <c r="P12" s="189"/>
      <c r="Q12" s="189"/>
      <c r="R12" s="189"/>
      <c r="S12" s="189"/>
      <c r="T12" s="190"/>
    </row>
    <row r="13" spans="1:22" s="226" customFormat="1">
      <c r="A13" s="191">
        <v>2</v>
      </c>
      <c r="B13" s="196" t="s">
        <v>718</v>
      </c>
      <c r="C13" s="193">
        <f t="shared" si="2"/>
        <v>379</v>
      </c>
      <c r="D13" s="315">
        <f>H13+L13+P13</f>
        <v>330</v>
      </c>
      <c r="E13" s="193">
        <f t="shared" si="2"/>
        <v>16</v>
      </c>
      <c r="F13" s="193">
        <f>32.9</f>
        <v>32.9</v>
      </c>
      <c r="G13" s="194"/>
      <c r="H13" s="306"/>
      <c r="I13" s="195"/>
      <c r="J13" s="195"/>
      <c r="K13" s="197">
        <f>SUM(L13:N13)</f>
        <v>379</v>
      </c>
      <c r="L13" s="319">
        <v>330</v>
      </c>
      <c r="M13" s="195">
        <v>16</v>
      </c>
      <c r="N13" s="195">
        <f>+L13*0.1</f>
        <v>33</v>
      </c>
      <c r="O13" s="189"/>
      <c r="P13" s="189"/>
      <c r="Q13" s="189"/>
      <c r="R13" s="189"/>
      <c r="S13" s="189"/>
      <c r="T13" s="190"/>
    </row>
    <row r="14" spans="1:22" s="226" customFormat="1">
      <c r="A14" s="191">
        <v>3</v>
      </c>
      <c r="B14" s="196" t="s">
        <v>719</v>
      </c>
      <c r="C14" s="193">
        <f t="shared" si="2"/>
        <v>120.7</v>
      </c>
      <c r="D14" s="315">
        <f t="shared" si="2"/>
        <v>89</v>
      </c>
      <c r="E14" s="193">
        <f t="shared" si="2"/>
        <v>5</v>
      </c>
      <c r="F14" s="193">
        <f t="shared" si="2"/>
        <v>26.7</v>
      </c>
      <c r="G14" s="194"/>
      <c r="H14" s="306"/>
      <c r="I14" s="195"/>
      <c r="J14" s="195"/>
      <c r="K14" s="195">
        <f>SUM(L14:N14)</f>
        <v>120.7</v>
      </c>
      <c r="L14" s="319">
        <v>89</v>
      </c>
      <c r="M14" s="195">
        <v>5</v>
      </c>
      <c r="N14" s="195">
        <f>+L14*0.3</f>
        <v>26.7</v>
      </c>
      <c r="O14" s="189"/>
      <c r="P14" s="189"/>
      <c r="Q14" s="189"/>
      <c r="R14" s="189"/>
      <c r="S14" s="189"/>
      <c r="T14" s="190"/>
    </row>
    <row r="15" spans="1:22" s="226" customFormat="1">
      <c r="A15" s="191">
        <v>4</v>
      </c>
      <c r="B15" s="198" t="s">
        <v>720</v>
      </c>
      <c r="C15" s="193">
        <f t="shared" si="2"/>
        <v>1074.0529411764708</v>
      </c>
      <c r="D15" s="315">
        <f t="shared" si="2"/>
        <v>800</v>
      </c>
      <c r="E15" s="193">
        <f>I15+M15+Q15</f>
        <v>19.7</v>
      </c>
      <c r="F15" s="193">
        <f t="shared" si="2"/>
        <v>254.35294117647072</v>
      </c>
      <c r="G15" s="194"/>
      <c r="H15" s="306"/>
      <c r="I15" s="195"/>
      <c r="J15" s="195"/>
      <c r="K15" s="195"/>
      <c r="L15" s="195"/>
      <c r="M15" s="195"/>
      <c r="N15" s="195"/>
      <c r="O15" s="194">
        <f t="shared" ref="O15:O21" si="3">SUM(P15:R15)</f>
        <v>1074.0529411764708</v>
      </c>
      <c r="P15" s="199">
        <v>800</v>
      </c>
      <c r="Q15" s="199">
        <v>19.7</v>
      </c>
      <c r="R15" s="199">
        <v>254.35294117647072</v>
      </c>
      <c r="S15" s="189"/>
      <c r="T15" s="190"/>
    </row>
    <row r="16" spans="1:22" s="226" customFormat="1">
      <c r="A16" s="191">
        <v>5</v>
      </c>
      <c r="B16" s="198" t="s">
        <v>721</v>
      </c>
      <c r="C16" s="193">
        <f t="shared" si="2"/>
        <v>947.05882352941182</v>
      </c>
      <c r="D16" s="315">
        <f t="shared" si="2"/>
        <v>700</v>
      </c>
      <c r="E16" s="193">
        <f t="shared" si="2"/>
        <v>24.5</v>
      </c>
      <c r="F16" s="193">
        <f t="shared" si="2"/>
        <v>222.55882352941182</v>
      </c>
      <c r="G16" s="194"/>
      <c r="H16" s="306"/>
      <c r="I16" s="195"/>
      <c r="J16" s="195"/>
      <c r="K16" s="195"/>
      <c r="L16" s="195"/>
      <c r="M16" s="195"/>
      <c r="N16" s="195"/>
      <c r="O16" s="194">
        <f t="shared" si="3"/>
        <v>947.05882352941182</v>
      </c>
      <c r="P16" s="199">
        <v>700</v>
      </c>
      <c r="Q16" s="199">
        <v>24.5</v>
      </c>
      <c r="R16" s="199">
        <v>222.55882352941182</v>
      </c>
      <c r="S16" s="189"/>
      <c r="T16" s="190"/>
    </row>
    <row r="17" spans="1:20" s="226" customFormat="1">
      <c r="A17" s="191">
        <v>6</v>
      </c>
      <c r="B17" s="200" t="s">
        <v>722</v>
      </c>
      <c r="C17" s="193">
        <f t="shared" si="2"/>
        <v>361.89473684210526</v>
      </c>
      <c r="D17" s="315">
        <f t="shared" si="2"/>
        <v>275</v>
      </c>
      <c r="E17" s="193">
        <f t="shared" si="2"/>
        <v>68.8</v>
      </c>
      <c r="F17" s="193">
        <f t="shared" si="2"/>
        <v>18.094736842105249</v>
      </c>
      <c r="G17" s="194"/>
      <c r="H17" s="306"/>
      <c r="I17" s="195"/>
      <c r="J17" s="195"/>
      <c r="K17" s="195"/>
      <c r="L17" s="195"/>
      <c r="M17" s="195"/>
      <c r="N17" s="195"/>
      <c r="O17" s="194">
        <f t="shared" si="3"/>
        <v>361.89473684210526</v>
      </c>
      <c r="P17" s="201">
        <v>275</v>
      </c>
      <c r="Q17" s="201">
        <v>68.8</v>
      </c>
      <c r="R17" s="201">
        <v>18.094736842105249</v>
      </c>
      <c r="S17" s="189"/>
      <c r="T17" s="190"/>
    </row>
    <row r="18" spans="1:20" s="226" customFormat="1">
      <c r="A18" s="191">
        <v>7</v>
      </c>
      <c r="B18" s="200" t="s">
        <v>723</v>
      </c>
      <c r="C18" s="193">
        <f t="shared" si="2"/>
        <v>141.83006535947715</v>
      </c>
      <c r="D18" s="315">
        <f t="shared" si="2"/>
        <v>110</v>
      </c>
      <c r="E18" s="193">
        <f t="shared" si="2"/>
        <v>3.2</v>
      </c>
      <c r="F18" s="193">
        <f t="shared" si="2"/>
        <v>28.630065359477129</v>
      </c>
      <c r="G18" s="194"/>
      <c r="H18" s="306"/>
      <c r="I18" s="195"/>
      <c r="J18" s="195"/>
      <c r="K18" s="195"/>
      <c r="L18" s="195"/>
      <c r="M18" s="195"/>
      <c r="N18" s="195"/>
      <c r="O18" s="194">
        <f t="shared" si="3"/>
        <v>141.83006535947715</v>
      </c>
      <c r="P18" s="201">
        <v>110</v>
      </c>
      <c r="Q18" s="201">
        <v>3.2</v>
      </c>
      <c r="R18" s="201">
        <v>28.630065359477129</v>
      </c>
      <c r="S18" s="189"/>
      <c r="T18" s="190"/>
    </row>
    <row r="19" spans="1:20" s="226" customFormat="1">
      <c r="A19" s="191">
        <v>8</v>
      </c>
      <c r="B19" s="202" t="s">
        <v>724</v>
      </c>
      <c r="C19" s="193">
        <f t="shared" si="2"/>
        <v>398.859477124183</v>
      </c>
      <c r="D19" s="315">
        <f t="shared" si="2"/>
        <v>303.5</v>
      </c>
      <c r="E19" s="193">
        <f t="shared" si="2"/>
        <v>9.5</v>
      </c>
      <c r="F19" s="193">
        <f t="shared" si="2"/>
        <v>85.859477124183002</v>
      </c>
      <c r="G19" s="194"/>
      <c r="H19" s="306"/>
      <c r="I19" s="195"/>
      <c r="J19" s="195"/>
      <c r="K19" s="195"/>
      <c r="L19" s="195"/>
      <c r="M19" s="195"/>
      <c r="N19" s="195"/>
      <c r="O19" s="194">
        <f t="shared" si="3"/>
        <v>398.859477124183</v>
      </c>
      <c r="P19" s="201">
        <v>303.5</v>
      </c>
      <c r="Q19" s="201">
        <v>9.5</v>
      </c>
      <c r="R19" s="201">
        <v>85.859477124183002</v>
      </c>
      <c r="S19" s="189"/>
      <c r="T19" s="190"/>
    </row>
    <row r="20" spans="1:20" s="226" customFormat="1">
      <c r="A20" s="191">
        <v>9</v>
      </c>
      <c r="B20" s="200" t="s">
        <v>725</v>
      </c>
      <c r="C20" s="193">
        <f t="shared" si="2"/>
        <v>243.52941176470591</v>
      </c>
      <c r="D20" s="315">
        <f t="shared" si="2"/>
        <v>180</v>
      </c>
      <c r="E20" s="193">
        <f t="shared" si="2"/>
        <v>6.3</v>
      </c>
      <c r="F20" s="193">
        <f t="shared" si="2"/>
        <v>57.229411764705901</v>
      </c>
      <c r="G20" s="194"/>
      <c r="H20" s="306"/>
      <c r="I20" s="195"/>
      <c r="J20" s="195"/>
      <c r="K20" s="195"/>
      <c r="L20" s="195"/>
      <c r="M20" s="195"/>
      <c r="N20" s="195"/>
      <c r="O20" s="194">
        <f t="shared" si="3"/>
        <v>243.52941176470591</v>
      </c>
      <c r="P20" s="201">
        <v>180</v>
      </c>
      <c r="Q20" s="201">
        <v>6.3</v>
      </c>
      <c r="R20" s="201">
        <v>57.229411764705901</v>
      </c>
      <c r="S20" s="189"/>
      <c r="T20" s="190"/>
    </row>
    <row r="21" spans="1:20" s="226" customFormat="1">
      <c r="A21" s="191">
        <v>10</v>
      </c>
      <c r="B21" s="203" t="s">
        <v>726</v>
      </c>
      <c r="C21" s="193">
        <f t="shared" si="2"/>
        <v>192.71830065359475</v>
      </c>
      <c r="D21" s="315">
        <f t="shared" si="2"/>
        <v>142.5</v>
      </c>
      <c r="E21" s="193">
        <f t="shared" si="2"/>
        <v>5</v>
      </c>
      <c r="F21" s="193">
        <f t="shared" si="2"/>
        <v>45.218300653594753</v>
      </c>
      <c r="G21" s="194"/>
      <c r="H21" s="306"/>
      <c r="I21" s="195"/>
      <c r="J21" s="195"/>
      <c r="K21" s="195"/>
      <c r="L21" s="195"/>
      <c r="M21" s="195"/>
      <c r="N21" s="195"/>
      <c r="O21" s="194">
        <f t="shared" si="3"/>
        <v>192.71830065359475</v>
      </c>
      <c r="P21" s="299">
        <v>142.5</v>
      </c>
      <c r="Q21" s="205">
        <v>5</v>
      </c>
      <c r="R21" s="204">
        <v>45.218300653594753</v>
      </c>
      <c r="S21" s="189"/>
      <c r="T21" s="190"/>
    </row>
    <row r="22" spans="1:20">
      <c r="A22" s="182" t="s">
        <v>39</v>
      </c>
      <c r="B22" s="183" t="s">
        <v>727</v>
      </c>
      <c r="C22" s="188">
        <f>SUM(C23:C24)</f>
        <v>802.50034013605455</v>
      </c>
      <c r="D22" s="304">
        <f t="shared" ref="D22:R22" si="4">SUM(D23:D24)</f>
        <v>560.29999999999995</v>
      </c>
      <c r="E22" s="184">
        <f t="shared" si="4"/>
        <v>31.3</v>
      </c>
      <c r="F22" s="184">
        <f t="shared" si="4"/>
        <v>210.90034013605447</v>
      </c>
      <c r="G22" s="184">
        <f t="shared" si="4"/>
        <v>802.50034013605455</v>
      </c>
      <c r="H22" s="302">
        <f t="shared" si="4"/>
        <v>560.29999999999995</v>
      </c>
      <c r="I22" s="184">
        <f t="shared" si="4"/>
        <v>31.3</v>
      </c>
      <c r="J22" s="184">
        <f t="shared" si="4"/>
        <v>210.90034013605447</v>
      </c>
      <c r="K22" s="184">
        <f t="shared" si="4"/>
        <v>0</v>
      </c>
      <c r="L22" s="184">
        <f t="shared" si="4"/>
        <v>0</v>
      </c>
      <c r="M22" s="184">
        <f t="shared" si="4"/>
        <v>0</v>
      </c>
      <c r="N22" s="184">
        <f t="shared" si="4"/>
        <v>0</v>
      </c>
      <c r="O22" s="184">
        <f t="shared" si="4"/>
        <v>0</v>
      </c>
      <c r="P22" s="184">
        <f t="shared" si="4"/>
        <v>0</v>
      </c>
      <c r="Q22" s="184">
        <f t="shared" si="4"/>
        <v>0</v>
      </c>
      <c r="R22" s="184">
        <f t="shared" si="4"/>
        <v>0</v>
      </c>
      <c r="S22" s="206"/>
      <c r="T22" s="175">
        <v>2</v>
      </c>
    </row>
    <row r="23" spans="1:20" s="226" customFormat="1">
      <c r="A23" s="207">
        <v>1</v>
      </c>
      <c r="B23" s="208" t="s">
        <v>728</v>
      </c>
      <c r="C23" s="193">
        <f t="shared" ref="C23:F24" si="5">G23+K23+O23</f>
        <v>434.17142857142858</v>
      </c>
      <c r="D23" s="315">
        <f t="shared" si="5"/>
        <v>304.3</v>
      </c>
      <c r="E23" s="193">
        <f>I23+M23+Q23</f>
        <v>16.3</v>
      </c>
      <c r="F23" s="193">
        <f t="shared" si="5"/>
        <v>113.57142857142856</v>
      </c>
      <c r="G23" s="194">
        <f>H23+I23+J23</f>
        <v>434.17142857142858</v>
      </c>
      <c r="H23" s="318">
        <v>304.3</v>
      </c>
      <c r="I23" s="194">
        <v>16.3</v>
      </c>
      <c r="J23" s="194">
        <v>113.57142857142856</v>
      </c>
      <c r="K23" s="189"/>
      <c r="L23" s="189"/>
      <c r="M23" s="189"/>
      <c r="N23" s="189"/>
      <c r="O23" s="189"/>
      <c r="P23" s="189"/>
      <c r="Q23" s="189"/>
      <c r="R23" s="189"/>
      <c r="S23" s="189"/>
      <c r="T23" s="190"/>
    </row>
    <row r="24" spans="1:20" s="226" customFormat="1">
      <c r="A24" s="207">
        <v>2</v>
      </c>
      <c r="B24" s="208" t="s">
        <v>729</v>
      </c>
      <c r="C24" s="193">
        <f t="shared" si="5"/>
        <v>368.32891156462591</v>
      </c>
      <c r="D24" s="315">
        <f t="shared" si="5"/>
        <v>256</v>
      </c>
      <c r="E24" s="193">
        <f>I24+M24+Q24</f>
        <v>15</v>
      </c>
      <c r="F24" s="193">
        <f t="shared" si="5"/>
        <v>97.328911564625898</v>
      </c>
      <c r="G24" s="194">
        <f>H24+I24+J24</f>
        <v>368.32891156462591</v>
      </c>
      <c r="H24" s="307">
        <v>256</v>
      </c>
      <c r="I24" s="194">
        <v>15</v>
      </c>
      <c r="J24" s="194">
        <v>97.328911564625898</v>
      </c>
      <c r="K24" s="189"/>
      <c r="L24" s="189"/>
      <c r="M24" s="189"/>
      <c r="N24" s="189"/>
      <c r="O24" s="189"/>
      <c r="P24" s="189"/>
      <c r="Q24" s="189"/>
      <c r="R24" s="189"/>
      <c r="S24" s="189"/>
      <c r="T24" s="190"/>
    </row>
    <row r="25" spans="1:20">
      <c r="A25" s="182" t="s">
        <v>44</v>
      </c>
      <c r="B25" s="183" t="s">
        <v>730</v>
      </c>
      <c r="C25" s="188">
        <f>SUM(C26:C28)</f>
        <v>2465.5</v>
      </c>
      <c r="D25" s="304">
        <f t="shared" ref="D25:R25" si="6">SUM(D26:D28)</f>
        <v>1723.6</v>
      </c>
      <c r="E25" s="188">
        <f t="shared" si="6"/>
        <v>90.899999999999991</v>
      </c>
      <c r="F25" s="188">
        <f t="shared" si="6"/>
        <v>651</v>
      </c>
      <c r="G25" s="188">
        <f t="shared" si="6"/>
        <v>2465.5</v>
      </c>
      <c r="H25" s="304">
        <f t="shared" si="6"/>
        <v>1723.6</v>
      </c>
      <c r="I25" s="188">
        <f t="shared" si="6"/>
        <v>90.899999999999991</v>
      </c>
      <c r="J25" s="188">
        <f t="shared" si="6"/>
        <v>651</v>
      </c>
      <c r="K25" s="184">
        <f t="shared" si="6"/>
        <v>0</v>
      </c>
      <c r="L25" s="184">
        <f t="shared" si="6"/>
        <v>0</v>
      </c>
      <c r="M25" s="184">
        <f t="shared" si="6"/>
        <v>0</v>
      </c>
      <c r="N25" s="184">
        <f t="shared" si="6"/>
        <v>0</v>
      </c>
      <c r="O25" s="184">
        <f t="shared" si="6"/>
        <v>0</v>
      </c>
      <c r="P25" s="184">
        <f t="shared" si="6"/>
        <v>0</v>
      </c>
      <c r="Q25" s="184">
        <f t="shared" si="6"/>
        <v>0</v>
      </c>
      <c r="R25" s="184">
        <f t="shared" si="6"/>
        <v>0</v>
      </c>
      <c r="S25" s="206"/>
      <c r="T25" s="175">
        <v>2</v>
      </c>
    </row>
    <row r="26" spans="1:20" s="226" customFormat="1">
      <c r="A26" s="209">
        <v>1</v>
      </c>
      <c r="B26" s="210" t="s">
        <v>731</v>
      </c>
      <c r="C26" s="193">
        <f t="shared" ref="C26:F28" si="7">G26+K26+O26</f>
        <v>1356.5</v>
      </c>
      <c r="D26" s="315">
        <f t="shared" si="7"/>
        <v>950</v>
      </c>
      <c r="E26" s="193">
        <f t="shared" si="7"/>
        <v>47.5</v>
      </c>
      <c r="F26" s="193">
        <f t="shared" si="7"/>
        <v>359</v>
      </c>
      <c r="G26" s="194">
        <f>H26+I26+J26</f>
        <v>1356.5</v>
      </c>
      <c r="H26" s="308">
        <v>950</v>
      </c>
      <c r="I26" s="211">
        <v>47.5</v>
      </c>
      <c r="J26" s="211">
        <v>359</v>
      </c>
      <c r="K26" s="189"/>
      <c r="L26" s="189"/>
      <c r="M26" s="189"/>
      <c r="N26" s="189"/>
      <c r="O26" s="189"/>
      <c r="P26" s="189"/>
      <c r="Q26" s="189"/>
      <c r="R26" s="189"/>
      <c r="S26" s="189"/>
      <c r="T26" s="190"/>
    </row>
    <row r="27" spans="1:20" s="226" customFormat="1">
      <c r="A27" s="209">
        <v>2</v>
      </c>
      <c r="B27" s="210" t="s">
        <v>732</v>
      </c>
      <c r="C27" s="193">
        <f>G27+K27+O27</f>
        <v>466.20000000000005</v>
      </c>
      <c r="D27" s="315">
        <f t="shared" si="7"/>
        <v>323.60000000000002</v>
      </c>
      <c r="E27" s="193">
        <f>I27+M27+Q27</f>
        <v>20.6</v>
      </c>
      <c r="F27" s="193">
        <f>J27+N27+R27</f>
        <v>122</v>
      </c>
      <c r="G27" s="194">
        <f>H27+I27+J27</f>
        <v>466.20000000000005</v>
      </c>
      <c r="H27" s="308">
        <v>323.60000000000002</v>
      </c>
      <c r="I27" s="211">
        <v>20.6</v>
      </c>
      <c r="J27" s="211">
        <v>122</v>
      </c>
      <c r="K27" s="189"/>
      <c r="L27" s="189"/>
      <c r="M27" s="189"/>
      <c r="N27" s="189"/>
      <c r="O27" s="189"/>
      <c r="P27" s="189"/>
      <c r="Q27" s="189"/>
      <c r="R27" s="189"/>
      <c r="S27" s="189"/>
      <c r="T27" s="190"/>
    </row>
    <row r="28" spans="1:20" s="226" customFormat="1" ht="37.5">
      <c r="A28" s="209">
        <v>3</v>
      </c>
      <c r="B28" s="210" t="s">
        <v>829</v>
      </c>
      <c r="C28" s="193">
        <f t="shared" si="7"/>
        <v>642.79999999999995</v>
      </c>
      <c r="D28" s="315">
        <f t="shared" si="7"/>
        <v>450</v>
      </c>
      <c r="E28" s="193">
        <f t="shared" si="7"/>
        <v>22.8</v>
      </c>
      <c r="F28" s="193">
        <f t="shared" si="7"/>
        <v>170</v>
      </c>
      <c r="G28" s="194">
        <f>H28+I28+J28</f>
        <v>642.79999999999995</v>
      </c>
      <c r="H28" s="308">
        <v>450</v>
      </c>
      <c r="I28" s="211">
        <v>22.8</v>
      </c>
      <c r="J28" s="211">
        <v>170</v>
      </c>
      <c r="K28" s="189"/>
      <c r="L28" s="189"/>
      <c r="M28" s="189"/>
      <c r="N28" s="189"/>
      <c r="O28" s="189"/>
      <c r="P28" s="189"/>
      <c r="Q28" s="189"/>
      <c r="R28" s="189"/>
      <c r="S28" s="189"/>
      <c r="T28" s="190"/>
    </row>
    <row r="29" spans="1:20">
      <c r="A29" s="182" t="s">
        <v>549</v>
      </c>
      <c r="B29" s="183" t="s">
        <v>733</v>
      </c>
      <c r="C29" s="188">
        <f>SUM(C30:C36)</f>
        <v>2453.9748299319731</v>
      </c>
      <c r="D29" s="302">
        <f t="shared" ref="D29:R29" si="8">SUM(D30:D36)</f>
        <v>1723.6</v>
      </c>
      <c r="E29" s="184">
        <f t="shared" si="8"/>
        <v>90.9</v>
      </c>
      <c r="F29" s="184">
        <f t="shared" si="8"/>
        <v>639.47482993197286</v>
      </c>
      <c r="G29" s="184">
        <f t="shared" si="8"/>
        <v>2453.9748299319731</v>
      </c>
      <c r="H29" s="302">
        <f t="shared" si="8"/>
        <v>1723.6</v>
      </c>
      <c r="I29" s="184">
        <f t="shared" si="8"/>
        <v>90.9</v>
      </c>
      <c r="J29" s="184">
        <f t="shared" si="8"/>
        <v>639.47482993197286</v>
      </c>
      <c r="K29" s="184">
        <f t="shared" si="8"/>
        <v>0</v>
      </c>
      <c r="L29" s="184">
        <f t="shared" si="8"/>
        <v>0</v>
      </c>
      <c r="M29" s="184">
        <f t="shared" si="8"/>
        <v>0</v>
      </c>
      <c r="N29" s="184">
        <f t="shared" si="8"/>
        <v>0</v>
      </c>
      <c r="O29" s="184">
        <f t="shared" si="8"/>
        <v>0</v>
      </c>
      <c r="P29" s="184">
        <f t="shared" si="8"/>
        <v>0</v>
      </c>
      <c r="Q29" s="184">
        <f t="shared" si="8"/>
        <v>0</v>
      </c>
      <c r="R29" s="184">
        <f t="shared" si="8"/>
        <v>0</v>
      </c>
      <c r="S29" s="206"/>
      <c r="T29" s="175">
        <v>2</v>
      </c>
    </row>
    <row r="30" spans="1:20" s="226" customFormat="1" ht="32.25" customHeight="1">
      <c r="A30" s="212">
        <v>1</v>
      </c>
      <c r="B30" s="210" t="s">
        <v>775</v>
      </c>
      <c r="C30" s="193">
        <f t="shared" ref="C30:F36" si="9">G30+K30+O30</f>
        <v>326.93197278911566</v>
      </c>
      <c r="D30" s="315">
        <f t="shared" si="9"/>
        <v>228.6</v>
      </c>
      <c r="E30" s="193">
        <f>I30+M30+Q30</f>
        <v>16.2</v>
      </c>
      <c r="F30" s="193">
        <f t="shared" si="9"/>
        <v>82.13197278911565</v>
      </c>
      <c r="G30" s="194">
        <f t="shared" ref="G30:G36" si="10">H30+I30+J30</f>
        <v>326.93197278911566</v>
      </c>
      <c r="H30" s="307">
        <v>228.6</v>
      </c>
      <c r="I30" s="194">
        <v>16.2</v>
      </c>
      <c r="J30" s="194">
        <v>82.13197278911565</v>
      </c>
      <c r="K30" s="189"/>
      <c r="L30" s="189"/>
      <c r="M30" s="189"/>
      <c r="N30" s="189"/>
      <c r="O30" s="189"/>
      <c r="P30" s="189"/>
      <c r="Q30" s="189"/>
      <c r="R30" s="189"/>
      <c r="S30" s="189"/>
      <c r="T30" s="190"/>
    </row>
    <row r="31" spans="1:20" s="226" customFormat="1" ht="67.5" customHeight="1">
      <c r="A31" s="212">
        <v>2</v>
      </c>
      <c r="B31" s="210" t="s">
        <v>833</v>
      </c>
      <c r="C31" s="193">
        <f>G31+K31+O31</f>
        <v>285</v>
      </c>
      <c r="D31" s="315">
        <f>H31+L31+P31</f>
        <v>200</v>
      </c>
      <c r="E31" s="193">
        <f>I31+M31+Q31</f>
        <v>10</v>
      </c>
      <c r="F31" s="193">
        <f t="shared" si="9"/>
        <v>75</v>
      </c>
      <c r="G31" s="194">
        <f t="shared" si="10"/>
        <v>285</v>
      </c>
      <c r="H31" s="307">
        <v>200</v>
      </c>
      <c r="I31" s="194">
        <v>10</v>
      </c>
      <c r="J31" s="194">
        <v>75</v>
      </c>
      <c r="K31" s="189"/>
      <c r="L31" s="189"/>
      <c r="M31" s="189"/>
      <c r="N31" s="189"/>
      <c r="O31" s="189"/>
      <c r="P31" s="189"/>
      <c r="Q31" s="189"/>
      <c r="R31" s="189"/>
      <c r="S31" s="189"/>
      <c r="T31" s="190"/>
    </row>
    <row r="32" spans="1:20" s="226" customFormat="1" ht="30" customHeight="1">
      <c r="A32" s="212">
        <v>3</v>
      </c>
      <c r="B32" s="210" t="s">
        <v>834</v>
      </c>
      <c r="C32" s="193">
        <f>G32+K32+O32</f>
        <v>285</v>
      </c>
      <c r="D32" s="315">
        <f>H32</f>
        <v>200</v>
      </c>
      <c r="E32" s="193">
        <f>I32</f>
        <v>10</v>
      </c>
      <c r="F32" s="193">
        <f>J32</f>
        <v>75</v>
      </c>
      <c r="G32" s="194">
        <f>SUM(H32:J32)</f>
        <v>285</v>
      </c>
      <c r="H32" s="307">
        <v>200</v>
      </c>
      <c r="I32" s="194">
        <v>10</v>
      </c>
      <c r="J32" s="194">
        <v>75</v>
      </c>
      <c r="K32" s="189"/>
      <c r="L32" s="189"/>
      <c r="M32" s="189"/>
      <c r="N32" s="189"/>
      <c r="O32" s="189"/>
      <c r="P32" s="189"/>
      <c r="Q32" s="189"/>
      <c r="R32" s="189"/>
      <c r="S32" s="189"/>
      <c r="T32" s="190"/>
    </row>
    <row r="33" spans="1:20" s="226" customFormat="1" ht="35.25" customHeight="1">
      <c r="A33" s="212">
        <v>4</v>
      </c>
      <c r="B33" s="210" t="s">
        <v>835</v>
      </c>
      <c r="C33" s="193">
        <f t="shared" si="9"/>
        <v>284.63265306122452</v>
      </c>
      <c r="D33" s="315">
        <f t="shared" si="9"/>
        <v>200</v>
      </c>
      <c r="E33" s="193">
        <f t="shared" si="9"/>
        <v>10</v>
      </c>
      <c r="F33" s="193">
        <f t="shared" si="9"/>
        <v>74.632653061224516</v>
      </c>
      <c r="G33" s="194">
        <f t="shared" si="10"/>
        <v>284.63265306122452</v>
      </c>
      <c r="H33" s="307">
        <v>200</v>
      </c>
      <c r="I33" s="194">
        <v>10</v>
      </c>
      <c r="J33" s="194">
        <v>74.632653061224516</v>
      </c>
      <c r="K33" s="189"/>
      <c r="L33" s="189"/>
      <c r="M33" s="189"/>
      <c r="N33" s="189"/>
      <c r="O33" s="189"/>
      <c r="P33" s="189"/>
      <c r="Q33" s="189"/>
      <c r="R33" s="189"/>
      <c r="S33" s="189"/>
      <c r="T33" s="190"/>
    </row>
    <row r="34" spans="1:20" s="226" customFormat="1" ht="37.5">
      <c r="A34" s="212">
        <v>5</v>
      </c>
      <c r="B34" s="210" t="s">
        <v>836</v>
      </c>
      <c r="C34" s="193">
        <f t="shared" si="9"/>
        <v>284.63265306122452</v>
      </c>
      <c r="D34" s="315">
        <f t="shared" si="9"/>
        <v>200</v>
      </c>
      <c r="E34" s="193">
        <f t="shared" si="9"/>
        <v>10</v>
      </c>
      <c r="F34" s="193">
        <f t="shared" si="9"/>
        <v>74.632653061224516</v>
      </c>
      <c r="G34" s="194">
        <f t="shared" si="10"/>
        <v>284.63265306122452</v>
      </c>
      <c r="H34" s="307">
        <v>200</v>
      </c>
      <c r="I34" s="194">
        <v>10</v>
      </c>
      <c r="J34" s="194">
        <v>74.632653061224516</v>
      </c>
      <c r="K34" s="189"/>
      <c r="L34" s="189"/>
      <c r="M34" s="189"/>
      <c r="N34" s="189"/>
      <c r="O34" s="189"/>
      <c r="P34" s="189"/>
      <c r="Q34" s="189"/>
      <c r="R34" s="189"/>
      <c r="S34" s="189"/>
      <c r="T34" s="190"/>
    </row>
    <row r="35" spans="1:20" s="226" customFormat="1" ht="37.5">
      <c r="A35" s="212">
        <v>6</v>
      </c>
      <c r="B35" s="210" t="s">
        <v>837</v>
      </c>
      <c r="C35" s="193">
        <f t="shared" si="9"/>
        <v>284.63265306122452</v>
      </c>
      <c r="D35" s="315">
        <f t="shared" si="9"/>
        <v>200</v>
      </c>
      <c r="E35" s="193">
        <f t="shared" si="9"/>
        <v>10</v>
      </c>
      <c r="F35" s="193">
        <f t="shared" si="9"/>
        <v>74.632653061224516</v>
      </c>
      <c r="G35" s="194">
        <f t="shared" si="10"/>
        <v>284.63265306122452</v>
      </c>
      <c r="H35" s="307">
        <v>200</v>
      </c>
      <c r="I35" s="194">
        <v>10</v>
      </c>
      <c r="J35" s="194">
        <v>74.632653061224516</v>
      </c>
      <c r="K35" s="189"/>
      <c r="L35" s="189"/>
      <c r="M35" s="189"/>
      <c r="N35" s="189"/>
      <c r="O35" s="189"/>
      <c r="P35" s="189"/>
      <c r="Q35" s="189"/>
      <c r="R35" s="189"/>
      <c r="S35" s="189"/>
      <c r="T35" s="190"/>
    </row>
    <row r="36" spans="1:20" s="226" customFormat="1" ht="63" customHeight="1">
      <c r="A36" s="212">
        <v>7</v>
      </c>
      <c r="B36" s="210" t="s">
        <v>838</v>
      </c>
      <c r="C36" s="193">
        <f t="shared" si="9"/>
        <v>703.14489795918371</v>
      </c>
      <c r="D36" s="315">
        <f t="shared" si="9"/>
        <v>495</v>
      </c>
      <c r="E36" s="193">
        <f t="shared" si="9"/>
        <v>24.7</v>
      </c>
      <c r="F36" s="193">
        <f t="shared" si="9"/>
        <v>183.44489795918372</v>
      </c>
      <c r="G36" s="194">
        <f t="shared" si="10"/>
        <v>703.14489795918371</v>
      </c>
      <c r="H36" s="307">
        <v>495</v>
      </c>
      <c r="I36" s="194">
        <v>24.7</v>
      </c>
      <c r="J36" s="194">
        <v>183.44489795918372</v>
      </c>
      <c r="K36" s="189"/>
      <c r="L36" s="189"/>
      <c r="M36" s="189"/>
      <c r="N36" s="189"/>
      <c r="O36" s="189"/>
      <c r="P36" s="189"/>
      <c r="Q36" s="189"/>
      <c r="R36" s="189"/>
      <c r="S36" s="189"/>
      <c r="T36" s="190"/>
    </row>
    <row r="37" spans="1:20" ht="22.5" customHeight="1">
      <c r="A37" s="182" t="s">
        <v>550</v>
      </c>
      <c r="B37" s="183" t="s">
        <v>734</v>
      </c>
      <c r="C37" s="184">
        <f>C38</f>
        <v>2462.6863945578234</v>
      </c>
      <c r="D37" s="302">
        <f t="shared" ref="D37:R37" si="11">D38</f>
        <v>1723.6</v>
      </c>
      <c r="E37" s="184">
        <v>90.9</v>
      </c>
      <c r="F37" s="184">
        <f t="shared" si="11"/>
        <v>648.18639455782318</v>
      </c>
      <c r="G37" s="184">
        <f t="shared" si="11"/>
        <v>2462.6863945578234</v>
      </c>
      <c r="H37" s="302">
        <f t="shared" si="11"/>
        <v>1723.6</v>
      </c>
      <c r="I37" s="184">
        <f t="shared" si="11"/>
        <v>90.9</v>
      </c>
      <c r="J37" s="184">
        <f t="shared" si="11"/>
        <v>648.18639455782318</v>
      </c>
      <c r="K37" s="184">
        <f t="shared" si="11"/>
        <v>0</v>
      </c>
      <c r="L37" s="184">
        <f t="shared" si="11"/>
        <v>0</v>
      </c>
      <c r="M37" s="184">
        <f t="shared" si="11"/>
        <v>0</v>
      </c>
      <c r="N37" s="184">
        <f t="shared" si="11"/>
        <v>0</v>
      </c>
      <c r="O37" s="184">
        <f t="shared" si="11"/>
        <v>0</v>
      </c>
      <c r="P37" s="184">
        <f t="shared" si="11"/>
        <v>0</v>
      </c>
      <c r="Q37" s="184">
        <f t="shared" si="11"/>
        <v>0</v>
      </c>
      <c r="R37" s="184">
        <f t="shared" si="11"/>
        <v>0</v>
      </c>
      <c r="S37" s="206"/>
      <c r="T37" s="175">
        <v>2</v>
      </c>
    </row>
    <row r="38" spans="1:20" s="226" customFormat="1" ht="30.75" customHeight="1">
      <c r="A38" s="212">
        <v>1</v>
      </c>
      <c r="B38" s="208" t="s">
        <v>832</v>
      </c>
      <c r="C38" s="193">
        <f>G38+K38+O38</f>
        <v>2462.6863945578234</v>
      </c>
      <c r="D38" s="315">
        <f>H38+L38+P38</f>
        <v>1723.6</v>
      </c>
      <c r="E38" s="193">
        <f>I38+M38+Q38</f>
        <v>90.9</v>
      </c>
      <c r="F38" s="193">
        <f>J38+N38+R38</f>
        <v>648.18639455782318</v>
      </c>
      <c r="G38" s="194">
        <f>H38+I38+J38</f>
        <v>2462.6863945578234</v>
      </c>
      <c r="H38" s="307">
        <v>1723.6</v>
      </c>
      <c r="I38" s="194">
        <v>90.9</v>
      </c>
      <c r="J38" s="194">
        <v>648.18639455782318</v>
      </c>
      <c r="K38" s="189"/>
      <c r="L38" s="189"/>
      <c r="M38" s="189"/>
      <c r="N38" s="189"/>
      <c r="O38" s="189"/>
      <c r="P38" s="189"/>
      <c r="Q38" s="189"/>
      <c r="R38" s="189"/>
      <c r="S38" s="189"/>
      <c r="T38" s="190"/>
    </row>
    <row r="39" spans="1:20">
      <c r="A39" s="182" t="s">
        <v>551</v>
      </c>
      <c r="B39" s="183" t="s">
        <v>735</v>
      </c>
      <c r="C39" s="188">
        <f>SUM(C40:C42)</f>
        <v>2468.6999999999998</v>
      </c>
      <c r="D39" s="302">
        <f t="shared" ref="D39:R39" si="12">SUM(D40:D42)</f>
        <v>1723.6</v>
      </c>
      <c r="E39" s="184">
        <f t="shared" si="12"/>
        <v>90.899999999999991</v>
      </c>
      <c r="F39" s="184">
        <f t="shared" si="12"/>
        <v>654.20000000000005</v>
      </c>
      <c r="G39" s="184">
        <f t="shared" si="12"/>
        <v>2468.6999999999998</v>
      </c>
      <c r="H39" s="302">
        <f t="shared" si="12"/>
        <v>1723.6</v>
      </c>
      <c r="I39" s="184">
        <f t="shared" si="12"/>
        <v>90.899999999999991</v>
      </c>
      <c r="J39" s="184">
        <f t="shared" si="12"/>
        <v>654.20000000000005</v>
      </c>
      <c r="K39" s="184">
        <f t="shared" si="12"/>
        <v>0</v>
      </c>
      <c r="L39" s="184">
        <f t="shared" si="12"/>
        <v>0</v>
      </c>
      <c r="M39" s="184">
        <f t="shared" si="12"/>
        <v>0</v>
      </c>
      <c r="N39" s="184">
        <f t="shared" si="12"/>
        <v>0</v>
      </c>
      <c r="O39" s="184">
        <f t="shared" si="12"/>
        <v>0</v>
      </c>
      <c r="P39" s="184">
        <f t="shared" si="12"/>
        <v>0</v>
      </c>
      <c r="Q39" s="184">
        <f t="shared" si="12"/>
        <v>0</v>
      </c>
      <c r="R39" s="184">
        <f t="shared" si="12"/>
        <v>0</v>
      </c>
      <c r="S39" s="206"/>
      <c r="T39" s="175">
        <v>2</v>
      </c>
    </row>
    <row r="40" spans="1:20" s="226" customFormat="1">
      <c r="A40" s="213">
        <v>1</v>
      </c>
      <c r="B40" s="214" t="s">
        <v>736</v>
      </c>
      <c r="C40" s="193">
        <f t="shared" ref="C40:F42" si="13">G40+K40+O40</f>
        <v>1137</v>
      </c>
      <c r="D40" s="315">
        <f t="shared" si="13"/>
        <v>793.6</v>
      </c>
      <c r="E40" s="193">
        <f t="shared" si="13"/>
        <v>42.1</v>
      </c>
      <c r="F40" s="193">
        <f t="shared" si="13"/>
        <v>301.3</v>
      </c>
      <c r="G40" s="194">
        <f>H40+I40+J40</f>
        <v>1137</v>
      </c>
      <c r="H40" s="307">
        <v>793.6</v>
      </c>
      <c r="I40" s="194">
        <v>42.1</v>
      </c>
      <c r="J40" s="194">
        <v>301.3</v>
      </c>
      <c r="K40" s="189"/>
      <c r="L40" s="189"/>
      <c r="M40" s="189"/>
      <c r="N40" s="189"/>
      <c r="O40" s="189"/>
      <c r="P40" s="189"/>
      <c r="Q40" s="189"/>
      <c r="R40" s="189"/>
      <c r="S40" s="189"/>
      <c r="T40" s="190"/>
    </row>
    <row r="41" spans="1:20" s="226" customFormat="1" ht="37.5">
      <c r="A41" s="212">
        <v>2</v>
      </c>
      <c r="B41" s="214" t="s">
        <v>737</v>
      </c>
      <c r="C41" s="193">
        <f t="shared" si="13"/>
        <v>715.6</v>
      </c>
      <c r="D41" s="315">
        <f t="shared" si="13"/>
        <v>500</v>
      </c>
      <c r="E41" s="193">
        <f t="shared" si="13"/>
        <v>26</v>
      </c>
      <c r="F41" s="193">
        <f t="shared" si="13"/>
        <v>189.6</v>
      </c>
      <c r="G41" s="194">
        <f>H41+I41+J41</f>
        <v>715.6</v>
      </c>
      <c r="H41" s="307">
        <v>500</v>
      </c>
      <c r="I41" s="194">
        <v>26</v>
      </c>
      <c r="J41" s="194">
        <v>189.6</v>
      </c>
      <c r="K41" s="189"/>
      <c r="L41" s="189"/>
      <c r="M41" s="189"/>
      <c r="N41" s="189"/>
      <c r="O41" s="189"/>
      <c r="P41" s="189"/>
      <c r="Q41" s="189"/>
      <c r="R41" s="189"/>
      <c r="S41" s="189"/>
      <c r="T41" s="190"/>
    </row>
    <row r="42" spans="1:20" s="226" customFormat="1">
      <c r="A42" s="213">
        <v>3</v>
      </c>
      <c r="B42" s="208" t="s">
        <v>738</v>
      </c>
      <c r="C42" s="193">
        <f t="shared" si="13"/>
        <v>616.1</v>
      </c>
      <c r="D42" s="315">
        <f t="shared" si="13"/>
        <v>430</v>
      </c>
      <c r="E42" s="193">
        <f t="shared" si="13"/>
        <v>22.8</v>
      </c>
      <c r="F42" s="193">
        <f t="shared" si="13"/>
        <v>163.30000000000001</v>
      </c>
      <c r="G42" s="194">
        <f>H42+I42+J42</f>
        <v>616.1</v>
      </c>
      <c r="H42" s="307">
        <v>430</v>
      </c>
      <c r="I42" s="194">
        <v>22.8</v>
      </c>
      <c r="J42" s="194">
        <v>163.30000000000001</v>
      </c>
      <c r="K42" s="189"/>
      <c r="L42" s="189"/>
      <c r="M42" s="189"/>
      <c r="N42" s="189"/>
      <c r="O42" s="189"/>
      <c r="P42" s="189"/>
      <c r="Q42" s="189"/>
      <c r="R42" s="189"/>
      <c r="S42" s="189"/>
      <c r="T42" s="190"/>
    </row>
    <row r="43" spans="1:20" s="226" customFormat="1">
      <c r="A43" s="187" t="s">
        <v>552</v>
      </c>
      <c r="B43" s="279" t="s">
        <v>739</v>
      </c>
      <c r="C43" s="188">
        <f>SUM(C44:C48)</f>
        <v>2491.5</v>
      </c>
      <c r="D43" s="304">
        <f t="shared" ref="D43:R43" si="14">SUM(D44:D48)</f>
        <v>1723.6</v>
      </c>
      <c r="E43" s="188">
        <f t="shared" si="14"/>
        <v>90.899999999999991</v>
      </c>
      <c r="F43" s="188">
        <f t="shared" si="14"/>
        <v>677</v>
      </c>
      <c r="G43" s="188">
        <f t="shared" si="14"/>
        <v>2491.5</v>
      </c>
      <c r="H43" s="304">
        <f t="shared" si="14"/>
        <v>1723.6</v>
      </c>
      <c r="I43" s="188">
        <f t="shared" si="14"/>
        <v>90.899999999999991</v>
      </c>
      <c r="J43" s="188">
        <f t="shared" si="14"/>
        <v>677</v>
      </c>
      <c r="K43" s="188">
        <f t="shared" si="14"/>
        <v>0</v>
      </c>
      <c r="L43" s="188">
        <f t="shared" si="14"/>
        <v>0</v>
      </c>
      <c r="M43" s="188">
        <f t="shared" si="14"/>
        <v>0</v>
      </c>
      <c r="N43" s="188">
        <f t="shared" si="14"/>
        <v>0</v>
      </c>
      <c r="O43" s="188">
        <f t="shared" si="14"/>
        <v>0</v>
      </c>
      <c r="P43" s="188">
        <f t="shared" si="14"/>
        <v>0</v>
      </c>
      <c r="Q43" s="188">
        <f t="shared" si="14"/>
        <v>0</v>
      </c>
      <c r="R43" s="188">
        <f t="shared" si="14"/>
        <v>0</v>
      </c>
      <c r="S43" s="189"/>
      <c r="T43" s="190">
        <v>2</v>
      </c>
    </row>
    <row r="44" spans="1:20" s="226" customFormat="1">
      <c r="A44" s="207">
        <v>1</v>
      </c>
      <c r="B44" s="214" t="s">
        <v>740</v>
      </c>
      <c r="C44" s="193">
        <f>G44+K44+O44</f>
        <v>933.2</v>
      </c>
      <c r="D44" s="315">
        <f t="shared" ref="C44:F48" si="15">H44+L44+P44</f>
        <v>630</v>
      </c>
      <c r="E44" s="193">
        <v>33.200000000000003</v>
      </c>
      <c r="F44" s="193">
        <f>J44+N44+R44</f>
        <v>270</v>
      </c>
      <c r="G44" s="194">
        <f>H44+I44+J44</f>
        <v>933.2</v>
      </c>
      <c r="H44" s="307">
        <v>630</v>
      </c>
      <c r="I44" s="193">
        <v>33.200000000000003</v>
      </c>
      <c r="J44" s="194">
        <v>270</v>
      </c>
      <c r="K44" s="189"/>
      <c r="L44" s="189"/>
      <c r="M44" s="189"/>
      <c r="N44" s="189"/>
      <c r="O44" s="189"/>
      <c r="P44" s="189"/>
      <c r="Q44" s="189"/>
      <c r="R44" s="189"/>
      <c r="S44" s="189"/>
      <c r="T44" s="190"/>
    </row>
    <row r="45" spans="1:20">
      <c r="A45" s="215">
        <v>2</v>
      </c>
      <c r="B45" s="216" t="s">
        <v>741</v>
      </c>
      <c r="C45" s="217">
        <f>G45+K45+O45</f>
        <v>228.1</v>
      </c>
      <c r="D45" s="316">
        <f t="shared" si="15"/>
        <v>154</v>
      </c>
      <c r="E45" s="193">
        <v>8.1</v>
      </c>
      <c r="F45" s="217">
        <f t="shared" si="15"/>
        <v>66</v>
      </c>
      <c r="G45" s="218">
        <f>H45+I45+J45</f>
        <v>228.1</v>
      </c>
      <c r="H45" s="309">
        <v>154</v>
      </c>
      <c r="I45" s="193">
        <v>8.1</v>
      </c>
      <c r="J45" s="218">
        <v>66</v>
      </c>
      <c r="K45" s="206"/>
      <c r="L45" s="206"/>
      <c r="M45" s="206"/>
      <c r="N45" s="206"/>
      <c r="O45" s="206"/>
      <c r="P45" s="206"/>
      <c r="Q45" s="206"/>
      <c r="R45" s="206"/>
      <c r="S45" s="206"/>
    </row>
    <row r="46" spans="1:20">
      <c r="A46" s="215">
        <v>3</v>
      </c>
      <c r="B46" s="216" t="s">
        <v>742</v>
      </c>
      <c r="C46" s="217">
        <f t="shared" si="15"/>
        <v>259.2</v>
      </c>
      <c r="D46" s="316">
        <f t="shared" si="15"/>
        <v>175</v>
      </c>
      <c r="E46" s="193">
        <v>9.1999999999999993</v>
      </c>
      <c r="F46" s="217">
        <f t="shared" si="15"/>
        <v>75</v>
      </c>
      <c r="G46" s="218">
        <f>H46+I46+J46</f>
        <v>259.2</v>
      </c>
      <c r="H46" s="309">
        <v>175</v>
      </c>
      <c r="I46" s="193">
        <v>9.1999999999999993</v>
      </c>
      <c r="J46" s="218">
        <v>75</v>
      </c>
      <c r="K46" s="206"/>
      <c r="L46" s="206"/>
      <c r="M46" s="206"/>
      <c r="N46" s="206"/>
      <c r="O46" s="206"/>
      <c r="P46" s="206"/>
      <c r="Q46" s="206"/>
      <c r="R46" s="206"/>
      <c r="S46" s="206"/>
    </row>
    <row r="47" spans="1:20">
      <c r="A47" s="215">
        <v>4</v>
      </c>
      <c r="B47" s="216" t="s">
        <v>743</v>
      </c>
      <c r="C47" s="217">
        <f t="shared" si="15"/>
        <v>838.9</v>
      </c>
      <c r="D47" s="316">
        <f>H47+L47+P47</f>
        <v>606.79999999999995</v>
      </c>
      <c r="E47" s="193">
        <v>32.1</v>
      </c>
      <c r="F47" s="217">
        <f t="shared" si="15"/>
        <v>200</v>
      </c>
      <c r="G47" s="218">
        <f>H47+I47+J47</f>
        <v>838.9</v>
      </c>
      <c r="H47" s="309">
        <v>606.79999999999995</v>
      </c>
      <c r="I47" s="193">
        <v>32.1</v>
      </c>
      <c r="J47" s="218">
        <v>200</v>
      </c>
      <c r="K47" s="206"/>
      <c r="L47" s="206"/>
      <c r="M47" s="206"/>
      <c r="N47" s="206"/>
      <c r="O47" s="206"/>
      <c r="P47" s="206"/>
      <c r="Q47" s="206"/>
      <c r="R47" s="206"/>
      <c r="S47" s="206"/>
    </row>
    <row r="48" spans="1:20">
      <c r="A48" s="215">
        <v>5</v>
      </c>
      <c r="B48" s="216" t="s">
        <v>744</v>
      </c>
      <c r="C48" s="217">
        <f t="shared" si="15"/>
        <v>232.10000000000002</v>
      </c>
      <c r="D48" s="316">
        <f t="shared" si="15"/>
        <v>157.80000000000001</v>
      </c>
      <c r="E48" s="193">
        <v>8.3000000000000007</v>
      </c>
      <c r="F48" s="217">
        <f>J48+N48+R48</f>
        <v>66</v>
      </c>
      <c r="G48" s="218">
        <f>H48+I48+J48</f>
        <v>232.10000000000002</v>
      </c>
      <c r="H48" s="309">
        <v>157.80000000000001</v>
      </c>
      <c r="I48" s="193">
        <v>8.3000000000000007</v>
      </c>
      <c r="J48" s="218">
        <v>66</v>
      </c>
      <c r="K48" s="206"/>
      <c r="L48" s="206"/>
      <c r="M48" s="206"/>
      <c r="N48" s="206"/>
      <c r="O48" s="206"/>
      <c r="P48" s="206"/>
      <c r="Q48" s="206"/>
      <c r="R48" s="206"/>
      <c r="S48" s="206"/>
    </row>
    <row r="49" spans="1:20">
      <c r="A49" s="182" t="s">
        <v>709</v>
      </c>
      <c r="B49" s="183" t="s">
        <v>745</v>
      </c>
      <c r="C49" s="184">
        <f>SUM(C50:C56)</f>
        <v>2462.686394557823</v>
      </c>
      <c r="D49" s="302">
        <f t="shared" ref="D49:R49" si="16">SUM(D50:D56)</f>
        <v>1723.6</v>
      </c>
      <c r="E49" s="184">
        <f t="shared" si="16"/>
        <v>90.899999999999991</v>
      </c>
      <c r="F49" s="184">
        <f t="shared" si="16"/>
        <v>648.18639455782318</v>
      </c>
      <c r="G49" s="184">
        <f t="shared" si="16"/>
        <v>2462.686394557823</v>
      </c>
      <c r="H49" s="302">
        <f t="shared" si="16"/>
        <v>1723.6</v>
      </c>
      <c r="I49" s="184">
        <f t="shared" si="16"/>
        <v>90.899999999999991</v>
      </c>
      <c r="J49" s="184">
        <f t="shared" si="16"/>
        <v>648.18639455782318</v>
      </c>
      <c r="K49" s="184">
        <f t="shared" si="16"/>
        <v>0</v>
      </c>
      <c r="L49" s="184">
        <f t="shared" si="16"/>
        <v>0</v>
      </c>
      <c r="M49" s="184">
        <f t="shared" si="16"/>
        <v>0</v>
      </c>
      <c r="N49" s="184">
        <f t="shared" si="16"/>
        <v>0</v>
      </c>
      <c r="O49" s="184">
        <f t="shared" si="16"/>
        <v>0</v>
      </c>
      <c r="P49" s="184">
        <f t="shared" si="16"/>
        <v>0</v>
      </c>
      <c r="Q49" s="184">
        <f t="shared" si="16"/>
        <v>0</v>
      </c>
      <c r="R49" s="184">
        <f t="shared" si="16"/>
        <v>0</v>
      </c>
      <c r="S49" s="206"/>
      <c r="T49" s="175">
        <v>2</v>
      </c>
    </row>
    <row r="50" spans="1:20" s="226" customFormat="1">
      <c r="A50" s="213">
        <v>1</v>
      </c>
      <c r="B50" s="208" t="s">
        <v>746</v>
      </c>
      <c r="C50" s="193">
        <f t="shared" ref="C50:F56" si="17">G50+K50+O50</f>
        <v>715.68571428571431</v>
      </c>
      <c r="D50" s="315">
        <f t="shared" si="17"/>
        <v>500</v>
      </c>
      <c r="E50" s="193">
        <f t="shared" si="17"/>
        <v>26.4</v>
      </c>
      <c r="F50" s="193">
        <f t="shared" si="17"/>
        <v>189.28571428571433</v>
      </c>
      <c r="G50" s="194">
        <f t="shared" ref="G50:G56" si="18">H50+I50+J50</f>
        <v>715.68571428571431</v>
      </c>
      <c r="H50" s="307">
        <v>500</v>
      </c>
      <c r="I50" s="193">
        <v>26.4</v>
      </c>
      <c r="J50" s="219">
        <v>189.28571428571433</v>
      </c>
      <c r="K50" s="189"/>
      <c r="L50" s="189"/>
      <c r="M50" s="189"/>
      <c r="N50" s="189"/>
      <c r="O50" s="189"/>
      <c r="P50" s="189"/>
      <c r="Q50" s="189"/>
      <c r="R50" s="189"/>
      <c r="S50" s="189"/>
      <c r="T50" s="190"/>
    </row>
    <row r="51" spans="1:20" s="226" customFormat="1" ht="37.5">
      <c r="A51" s="213">
        <v>2</v>
      </c>
      <c r="B51" s="208" t="s">
        <v>747</v>
      </c>
      <c r="C51" s="193">
        <f t="shared" si="17"/>
        <v>286.91428571428571</v>
      </c>
      <c r="D51" s="315">
        <f t="shared" si="17"/>
        <v>200</v>
      </c>
      <c r="E51" s="193">
        <f t="shared" si="17"/>
        <v>11.2</v>
      </c>
      <c r="F51" s="193">
        <f t="shared" si="17"/>
        <v>75.714285714285722</v>
      </c>
      <c r="G51" s="194">
        <f t="shared" si="18"/>
        <v>286.91428571428571</v>
      </c>
      <c r="H51" s="307">
        <v>200</v>
      </c>
      <c r="I51" s="193">
        <v>11.2</v>
      </c>
      <c r="J51" s="194">
        <v>75.714285714285722</v>
      </c>
      <c r="K51" s="189"/>
      <c r="L51" s="189"/>
      <c r="M51" s="189"/>
      <c r="N51" s="189"/>
      <c r="O51" s="189"/>
      <c r="P51" s="189"/>
      <c r="Q51" s="189"/>
      <c r="R51" s="189"/>
      <c r="S51" s="189"/>
      <c r="T51" s="190"/>
    </row>
    <row r="52" spans="1:20" s="226" customFormat="1">
      <c r="A52" s="213">
        <v>3</v>
      </c>
      <c r="B52" s="208" t="s">
        <v>830</v>
      </c>
      <c r="C52" s="193">
        <f t="shared" si="17"/>
        <v>357.84285714285716</v>
      </c>
      <c r="D52" s="315">
        <f t="shared" si="17"/>
        <v>250</v>
      </c>
      <c r="E52" s="193">
        <f>I52+M52+Q52</f>
        <v>13.2</v>
      </c>
      <c r="F52" s="193">
        <f t="shared" si="17"/>
        <v>94.642857142857167</v>
      </c>
      <c r="G52" s="194">
        <f t="shared" si="18"/>
        <v>357.84285714285716</v>
      </c>
      <c r="H52" s="307">
        <v>250</v>
      </c>
      <c r="I52" s="193">
        <v>13.2</v>
      </c>
      <c r="J52" s="194">
        <v>94.642857142857167</v>
      </c>
      <c r="K52" s="189"/>
      <c r="L52" s="189"/>
      <c r="M52" s="189"/>
      <c r="N52" s="189"/>
      <c r="O52" s="189"/>
      <c r="P52" s="189"/>
      <c r="Q52" s="189"/>
      <c r="R52" s="189"/>
      <c r="S52" s="189"/>
      <c r="T52" s="190"/>
    </row>
    <row r="53" spans="1:20" s="226" customFormat="1">
      <c r="A53" s="213">
        <v>4</v>
      </c>
      <c r="B53" s="208" t="s">
        <v>748</v>
      </c>
      <c r="C53" s="193">
        <f t="shared" si="17"/>
        <v>443.6571428571429</v>
      </c>
      <c r="D53" s="315">
        <f t="shared" si="17"/>
        <v>310</v>
      </c>
      <c r="E53" s="193">
        <f t="shared" si="17"/>
        <v>16.3</v>
      </c>
      <c r="F53" s="193">
        <f t="shared" si="17"/>
        <v>117.35714285714289</v>
      </c>
      <c r="G53" s="194">
        <f t="shared" si="18"/>
        <v>443.6571428571429</v>
      </c>
      <c r="H53" s="307">
        <v>310</v>
      </c>
      <c r="I53" s="193">
        <v>16.3</v>
      </c>
      <c r="J53" s="194">
        <v>117.35714285714289</v>
      </c>
      <c r="K53" s="189"/>
      <c r="L53" s="189"/>
      <c r="M53" s="189"/>
      <c r="N53" s="189"/>
      <c r="O53" s="189"/>
      <c r="P53" s="189"/>
      <c r="Q53" s="189"/>
      <c r="R53" s="189"/>
      <c r="S53" s="189"/>
      <c r="T53" s="190"/>
    </row>
    <row r="54" spans="1:20" s="226" customFormat="1">
      <c r="A54" s="213">
        <v>5</v>
      </c>
      <c r="B54" s="208" t="s">
        <v>749</v>
      </c>
      <c r="C54" s="193">
        <f t="shared" si="17"/>
        <v>174.34965986394556</v>
      </c>
      <c r="D54" s="315">
        <f t="shared" si="17"/>
        <v>121.8</v>
      </c>
      <c r="E54" s="193">
        <f t="shared" si="17"/>
        <v>6.4</v>
      </c>
      <c r="F54" s="193">
        <f t="shared" si="17"/>
        <v>46.149659863945573</v>
      </c>
      <c r="G54" s="194">
        <f t="shared" si="18"/>
        <v>174.34965986394556</v>
      </c>
      <c r="H54" s="307">
        <v>121.8</v>
      </c>
      <c r="I54" s="193">
        <v>6.4</v>
      </c>
      <c r="J54" s="194">
        <v>46.149659863945573</v>
      </c>
      <c r="K54" s="189"/>
      <c r="L54" s="189"/>
      <c r="M54" s="189"/>
      <c r="N54" s="189"/>
      <c r="O54" s="189"/>
      <c r="P54" s="189"/>
      <c r="Q54" s="189"/>
      <c r="R54" s="189"/>
      <c r="S54" s="189"/>
      <c r="T54" s="190"/>
    </row>
    <row r="55" spans="1:20" s="226" customFormat="1">
      <c r="A55" s="213">
        <v>6</v>
      </c>
      <c r="B55" s="208" t="s">
        <v>750</v>
      </c>
      <c r="C55" s="193">
        <f t="shared" si="17"/>
        <v>183.56462585034015</v>
      </c>
      <c r="D55" s="315">
        <f>H55+L55+P55</f>
        <v>131.80000000000001</v>
      </c>
      <c r="E55" s="193">
        <f t="shared" si="17"/>
        <v>6.3</v>
      </c>
      <c r="F55" s="193">
        <f t="shared" si="17"/>
        <v>45.464625850340127</v>
      </c>
      <c r="G55" s="194">
        <f t="shared" si="18"/>
        <v>183.56462585034015</v>
      </c>
      <c r="H55" s="307">
        <v>131.80000000000001</v>
      </c>
      <c r="I55" s="193">
        <v>6.3</v>
      </c>
      <c r="J55" s="194">
        <v>45.464625850340127</v>
      </c>
      <c r="K55" s="189"/>
      <c r="L55" s="189"/>
      <c r="M55" s="189"/>
      <c r="N55" s="189"/>
      <c r="O55" s="189"/>
      <c r="P55" s="189"/>
      <c r="Q55" s="189"/>
      <c r="R55" s="189"/>
      <c r="S55" s="189"/>
      <c r="T55" s="190"/>
    </row>
    <row r="56" spans="1:20" s="226" customFormat="1">
      <c r="A56" s="213">
        <v>7</v>
      </c>
      <c r="B56" s="208" t="s">
        <v>751</v>
      </c>
      <c r="C56" s="193">
        <f t="shared" si="17"/>
        <v>300.67210884353744</v>
      </c>
      <c r="D56" s="315">
        <f t="shared" si="17"/>
        <v>210</v>
      </c>
      <c r="E56" s="193">
        <f t="shared" si="17"/>
        <v>11.1</v>
      </c>
      <c r="F56" s="193">
        <f t="shared" si="17"/>
        <v>79.572108843537421</v>
      </c>
      <c r="G56" s="194">
        <f t="shared" si="18"/>
        <v>300.67210884353744</v>
      </c>
      <c r="H56" s="307">
        <v>210</v>
      </c>
      <c r="I56" s="193">
        <v>11.1</v>
      </c>
      <c r="J56" s="194">
        <v>79.572108843537421</v>
      </c>
      <c r="K56" s="189"/>
      <c r="L56" s="189"/>
      <c r="M56" s="189"/>
      <c r="N56" s="189"/>
      <c r="O56" s="189"/>
      <c r="P56" s="189"/>
      <c r="Q56" s="189"/>
      <c r="R56" s="189"/>
      <c r="S56" s="189"/>
      <c r="T56" s="190"/>
    </row>
    <row r="57" spans="1:20">
      <c r="A57" s="182" t="s">
        <v>710</v>
      </c>
      <c r="B57" s="183" t="s">
        <v>752</v>
      </c>
      <c r="C57" s="188">
        <f>SUM(C58:C60)</f>
        <v>2271.3000000000002</v>
      </c>
      <c r="D57" s="302">
        <f t="shared" ref="D57:R57" si="19">SUM(D58:D60)</f>
        <v>1723.6</v>
      </c>
      <c r="E57" s="184">
        <f t="shared" si="19"/>
        <v>90.9</v>
      </c>
      <c r="F57" s="184">
        <f t="shared" si="19"/>
        <v>456.8</v>
      </c>
      <c r="G57" s="184">
        <f t="shared" si="19"/>
        <v>2271.3000000000002</v>
      </c>
      <c r="H57" s="302">
        <f t="shared" si="19"/>
        <v>1723.6</v>
      </c>
      <c r="I57" s="184">
        <f t="shared" si="19"/>
        <v>90.9</v>
      </c>
      <c r="J57" s="184">
        <f t="shared" si="19"/>
        <v>456.8</v>
      </c>
      <c r="K57" s="184">
        <f t="shared" si="19"/>
        <v>0</v>
      </c>
      <c r="L57" s="184">
        <f t="shared" si="19"/>
        <v>0</v>
      </c>
      <c r="M57" s="184">
        <f t="shared" si="19"/>
        <v>0</v>
      </c>
      <c r="N57" s="184">
        <f t="shared" si="19"/>
        <v>0</v>
      </c>
      <c r="O57" s="184">
        <f t="shared" si="19"/>
        <v>0</v>
      </c>
      <c r="P57" s="184">
        <f t="shared" si="19"/>
        <v>0</v>
      </c>
      <c r="Q57" s="184">
        <f t="shared" si="19"/>
        <v>0</v>
      </c>
      <c r="R57" s="184">
        <f t="shared" si="19"/>
        <v>0</v>
      </c>
      <c r="S57" s="206"/>
      <c r="T57" s="175">
        <v>2</v>
      </c>
    </row>
    <row r="58" spans="1:20" s="226" customFormat="1" ht="37.5">
      <c r="A58" s="212">
        <v>1</v>
      </c>
      <c r="B58" s="208" t="s">
        <v>753</v>
      </c>
      <c r="C58" s="193">
        <f t="shared" ref="C58:F60" si="20">G58+K58+O58</f>
        <v>857.83</v>
      </c>
      <c r="D58" s="315">
        <f t="shared" si="20"/>
        <v>651</v>
      </c>
      <c r="E58" s="193">
        <f>I58+M58+Q58</f>
        <v>34.33</v>
      </c>
      <c r="F58" s="193">
        <f>J58+N58+R58</f>
        <v>172.5</v>
      </c>
      <c r="G58" s="194">
        <f>H58+I58+J58</f>
        <v>857.83</v>
      </c>
      <c r="H58" s="310">
        <v>651</v>
      </c>
      <c r="I58" s="220">
        <v>34.33</v>
      </c>
      <c r="J58" s="220">
        <v>172.5</v>
      </c>
      <c r="K58" s="189"/>
      <c r="L58" s="189"/>
      <c r="M58" s="189"/>
      <c r="N58" s="189"/>
      <c r="O58" s="189"/>
      <c r="P58" s="189"/>
      <c r="Q58" s="189"/>
      <c r="R58" s="189"/>
      <c r="S58" s="189"/>
      <c r="T58" s="190"/>
    </row>
    <row r="59" spans="1:20" s="226" customFormat="1" ht="37.5">
      <c r="A59" s="212">
        <v>2</v>
      </c>
      <c r="B59" s="208" t="s">
        <v>754</v>
      </c>
      <c r="C59" s="193">
        <f t="shared" si="20"/>
        <v>775.64</v>
      </c>
      <c r="D59" s="315">
        <f t="shared" si="20"/>
        <v>588.6</v>
      </c>
      <c r="E59" s="193">
        <f t="shared" si="20"/>
        <v>31.04</v>
      </c>
      <c r="F59" s="193">
        <f t="shared" si="20"/>
        <v>156</v>
      </c>
      <c r="G59" s="194">
        <f>H59+I59+J59</f>
        <v>775.64</v>
      </c>
      <c r="H59" s="310">
        <v>588.6</v>
      </c>
      <c r="I59" s="220">
        <v>31.04</v>
      </c>
      <c r="J59" s="220">
        <v>156</v>
      </c>
      <c r="K59" s="189"/>
      <c r="L59" s="189"/>
      <c r="M59" s="189"/>
      <c r="N59" s="189"/>
      <c r="O59" s="189"/>
      <c r="P59" s="189"/>
      <c r="Q59" s="189"/>
      <c r="R59" s="189"/>
      <c r="S59" s="189"/>
      <c r="T59" s="190"/>
    </row>
    <row r="60" spans="1:20" s="226" customFormat="1" ht="37.5">
      <c r="A60" s="212">
        <v>3</v>
      </c>
      <c r="B60" s="208" t="s">
        <v>755</v>
      </c>
      <c r="C60" s="193">
        <f>G60+K60+O60</f>
        <v>637.82999999999993</v>
      </c>
      <c r="D60" s="315">
        <f t="shared" si="20"/>
        <v>484</v>
      </c>
      <c r="E60" s="193">
        <f t="shared" si="20"/>
        <v>25.53</v>
      </c>
      <c r="F60" s="193">
        <f t="shared" si="20"/>
        <v>128.30000000000001</v>
      </c>
      <c r="G60" s="194">
        <f>H60+I60+J60</f>
        <v>637.82999999999993</v>
      </c>
      <c r="H60" s="310">
        <v>484</v>
      </c>
      <c r="I60" s="220">
        <v>25.53</v>
      </c>
      <c r="J60" s="220">
        <v>128.30000000000001</v>
      </c>
      <c r="K60" s="189"/>
      <c r="L60" s="189"/>
      <c r="M60" s="189"/>
      <c r="N60" s="189"/>
      <c r="O60" s="189"/>
      <c r="P60" s="189"/>
      <c r="Q60" s="189"/>
      <c r="R60" s="189"/>
      <c r="S60" s="189"/>
      <c r="T60" s="190"/>
    </row>
    <row r="61" spans="1:20">
      <c r="A61" s="182" t="s">
        <v>711</v>
      </c>
      <c r="B61" s="183" t="s">
        <v>756</v>
      </c>
      <c r="C61" s="188">
        <f>SUM(C62:C63)</f>
        <v>2469.1442176870746</v>
      </c>
      <c r="D61" s="302">
        <f t="shared" ref="D61:R61" si="21">SUM(D62:D63)</f>
        <v>1723.6</v>
      </c>
      <c r="E61" s="184">
        <f t="shared" si="21"/>
        <v>90.9</v>
      </c>
      <c r="F61" s="184">
        <f t="shared" si="21"/>
        <v>654.64421768707484</v>
      </c>
      <c r="G61" s="184">
        <f t="shared" si="21"/>
        <v>2469.1442176870746</v>
      </c>
      <c r="H61" s="302">
        <f t="shared" si="21"/>
        <v>1723.6</v>
      </c>
      <c r="I61" s="184">
        <f t="shared" si="21"/>
        <v>90.9</v>
      </c>
      <c r="J61" s="184">
        <f t="shared" si="21"/>
        <v>654.64421768707484</v>
      </c>
      <c r="K61" s="184">
        <f t="shared" si="21"/>
        <v>0</v>
      </c>
      <c r="L61" s="184">
        <f t="shared" si="21"/>
        <v>0</v>
      </c>
      <c r="M61" s="184">
        <f t="shared" si="21"/>
        <v>0</v>
      </c>
      <c r="N61" s="184">
        <f t="shared" si="21"/>
        <v>0</v>
      </c>
      <c r="O61" s="184">
        <f t="shared" si="21"/>
        <v>0</v>
      </c>
      <c r="P61" s="184">
        <f t="shared" si="21"/>
        <v>0</v>
      </c>
      <c r="Q61" s="184">
        <f t="shared" si="21"/>
        <v>0</v>
      </c>
      <c r="R61" s="184">
        <f t="shared" si="21"/>
        <v>0</v>
      </c>
      <c r="S61" s="206"/>
      <c r="T61" s="175">
        <v>2</v>
      </c>
    </row>
    <row r="62" spans="1:20" s="226" customFormat="1">
      <c r="A62" s="212">
        <v>1</v>
      </c>
      <c r="B62" s="208" t="s">
        <v>757</v>
      </c>
      <c r="C62" s="193">
        <f t="shared" ref="C62:F63" si="22">G62+K62+O62</f>
        <v>500.54421768707476</v>
      </c>
      <c r="D62" s="315">
        <f t="shared" si="22"/>
        <v>350</v>
      </c>
      <c r="E62" s="193">
        <f t="shared" si="22"/>
        <v>17.899999999999999</v>
      </c>
      <c r="F62" s="193">
        <f t="shared" si="22"/>
        <v>132.64421768707479</v>
      </c>
      <c r="G62" s="194">
        <f>H62+I62+J62</f>
        <v>500.54421768707476</v>
      </c>
      <c r="H62" s="307">
        <v>350</v>
      </c>
      <c r="I62" s="194">
        <v>17.899999999999999</v>
      </c>
      <c r="J62" s="194">
        <v>132.64421768707479</v>
      </c>
      <c r="K62" s="189"/>
      <c r="L62" s="189"/>
      <c r="M62" s="189"/>
      <c r="N62" s="189"/>
      <c r="O62" s="189"/>
      <c r="P62" s="189"/>
      <c r="Q62" s="189"/>
      <c r="R62" s="189"/>
      <c r="S62" s="189"/>
      <c r="T62" s="190"/>
    </row>
    <row r="63" spans="1:20" s="226" customFormat="1" ht="37.5">
      <c r="A63" s="212">
        <v>2</v>
      </c>
      <c r="B63" s="214" t="s">
        <v>758</v>
      </c>
      <c r="C63" s="193">
        <f t="shared" si="22"/>
        <v>1968.6</v>
      </c>
      <c r="D63" s="315">
        <f t="shared" si="22"/>
        <v>1373.6</v>
      </c>
      <c r="E63" s="193">
        <f t="shared" si="22"/>
        <v>73</v>
      </c>
      <c r="F63" s="193">
        <f t="shared" si="22"/>
        <v>522</v>
      </c>
      <c r="G63" s="194">
        <f>H63+I63+J63</f>
        <v>1968.6</v>
      </c>
      <c r="H63" s="307">
        <v>1373.6</v>
      </c>
      <c r="I63" s="194">
        <v>73</v>
      </c>
      <c r="J63" s="194">
        <v>522</v>
      </c>
      <c r="K63" s="189"/>
      <c r="L63" s="189"/>
      <c r="M63" s="189"/>
      <c r="N63" s="189"/>
      <c r="O63" s="189"/>
      <c r="P63" s="189"/>
      <c r="Q63" s="189"/>
      <c r="R63" s="189"/>
      <c r="S63" s="189"/>
      <c r="T63" s="190"/>
    </row>
    <row r="64" spans="1:20">
      <c r="A64" s="221" t="s">
        <v>712</v>
      </c>
      <c r="B64" s="183" t="s">
        <v>759</v>
      </c>
      <c r="C64" s="184">
        <f>SUM(C65:C66)</f>
        <v>2437.1149659863945</v>
      </c>
      <c r="D64" s="302">
        <f t="shared" ref="D64:R64" si="23">SUM(D65:D66)</f>
        <v>1723.6</v>
      </c>
      <c r="E64" s="184">
        <f t="shared" si="23"/>
        <v>90.9</v>
      </c>
      <c r="F64" s="184">
        <f t="shared" si="23"/>
        <v>622.61496598639474</v>
      </c>
      <c r="G64" s="184">
        <f t="shared" si="23"/>
        <v>2437.1149659863945</v>
      </c>
      <c r="H64" s="302">
        <f t="shared" si="23"/>
        <v>1723.6</v>
      </c>
      <c r="I64" s="184">
        <f t="shared" si="23"/>
        <v>90.9</v>
      </c>
      <c r="J64" s="184">
        <f t="shared" si="23"/>
        <v>622.61496598639474</v>
      </c>
      <c r="K64" s="184">
        <f t="shared" si="23"/>
        <v>0</v>
      </c>
      <c r="L64" s="184">
        <f t="shared" si="23"/>
        <v>0</v>
      </c>
      <c r="M64" s="184">
        <f t="shared" si="23"/>
        <v>0</v>
      </c>
      <c r="N64" s="184">
        <f t="shared" si="23"/>
        <v>0</v>
      </c>
      <c r="O64" s="184">
        <f t="shared" si="23"/>
        <v>0</v>
      </c>
      <c r="P64" s="184">
        <f t="shared" si="23"/>
        <v>0</v>
      </c>
      <c r="Q64" s="184">
        <f t="shared" si="23"/>
        <v>0</v>
      </c>
      <c r="R64" s="184">
        <f t="shared" si="23"/>
        <v>0</v>
      </c>
      <c r="S64" s="206"/>
      <c r="T64" s="175">
        <v>2</v>
      </c>
    </row>
    <row r="65" spans="1:20" s="226" customFormat="1">
      <c r="A65" s="212">
        <v>1</v>
      </c>
      <c r="B65" s="208" t="s">
        <v>760</v>
      </c>
      <c r="C65" s="193">
        <f t="shared" ref="C65:F66" si="24">G65+K65+O65</f>
        <v>2017.4149659863947</v>
      </c>
      <c r="D65" s="315">
        <f t="shared" si="24"/>
        <v>1411.8</v>
      </c>
      <c r="E65" s="193">
        <f t="shared" si="24"/>
        <v>71</v>
      </c>
      <c r="F65" s="193">
        <f t="shared" si="24"/>
        <v>534.61496598639474</v>
      </c>
      <c r="G65" s="194">
        <f>H65+I65+J65</f>
        <v>2017.4149659863947</v>
      </c>
      <c r="H65" s="311">
        <v>1411.8</v>
      </c>
      <c r="I65" s="219">
        <v>71</v>
      </c>
      <c r="J65" s="219">
        <v>534.61496598639474</v>
      </c>
      <c r="K65" s="189"/>
      <c r="L65" s="189"/>
      <c r="M65" s="189"/>
      <c r="N65" s="189"/>
      <c r="O65" s="189"/>
      <c r="P65" s="189"/>
      <c r="Q65" s="189"/>
      <c r="R65" s="189"/>
      <c r="S65" s="189"/>
      <c r="T65" s="190"/>
    </row>
    <row r="66" spans="1:20" s="226" customFormat="1">
      <c r="A66" s="212">
        <v>2</v>
      </c>
      <c r="B66" s="208" t="s">
        <v>761</v>
      </c>
      <c r="C66" s="193">
        <f t="shared" si="24"/>
        <v>419.7</v>
      </c>
      <c r="D66" s="315">
        <f t="shared" si="24"/>
        <v>311.8</v>
      </c>
      <c r="E66" s="193">
        <f t="shared" si="24"/>
        <v>19.899999999999999</v>
      </c>
      <c r="F66" s="193">
        <f t="shared" si="24"/>
        <v>88</v>
      </c>
      <c r="G66" s="194">
        <f>H66+I66+J66</f>
        <v>419.7</v>
      </c>
      <c r="H66" s="311">
        <v>311.8</v>
      </c>
      <c r="I66" s="219">
        <v>19.899999999999999</v>
      </c>
      <c r="J66" s="219">
        <v>88</v>
      </c>
      <c r="K66" s="189"/>
      <c r="L66" s="189"/>
      <c r="M66" s="189"/>
      <c r="N66" s="189"/>
      <c r="O66" s="189"/>
      <c r="P66" s="189"/>
      <c r="Q66" s="189"/>
      <c r="R66" s="189"/>
      <c r="S66" s="189"/>
      <c r="T66" s="190"/>
    </row>
    <row r="67" spans="1:20">
      <c r="A67" s="182" t="s">
        <v>713</v>
      </c>
      <c r="B67" s="183" t="s">
        <v>762</v>
      </c>
      <c r="C67" s="184">
        <f>C68</f>
        <v>2462.6863945578234</v>
      </c>
      <c r="D67" s="302">
        <f t="shared" ref="D67:R67" si="25">D68</f>
        <v>1723.6</v>
      </c>
      <c r="E67" s="184">
        <f t="shared" si="25"/>
        <v>90.9</v>
      </c>
      <c r="F67" s="184">
        <f t="shared" si="25"/>
        <v>648.18639455782318</v>
      </c>
      <c r="G67" s="184">
        <f t="shared" si="25"/>
        <v>2462.6863945578234</v>
      </c>
      <c r="H67" s="302">
        <f t="shared" si="25"/>
        <v>1723.6</v>
      </c>
      <c r="I67" s="184">
        <f t="shared" si="25"/>
        <v>90.9</v>
      </c>
      <c r="J67" s="184">
        <f t="shared" si="25"/>
        <v>648.18639455782318</v>
      </c>
      <c r="K67" s="184">
        <f t="shared" si="25"/>
        <v>0</v>
      </c>
      <c r="L67" s="184">
        <f t="shared" si="25"/>
        <v>0</v>
      </c>
      <c r="M67" s="184">
        <f t="shared" si="25"/>
        <v>0</v>
      </c>
      <c r="N67" s="184">
        <f t="shared" si="25"/>
        <v>0</v>
      </c>
      <c r="O67" s="184">
        <f t="shared" si="25"/>
        <v>0</v>
      </c>
      <c r="P67" s="184">
        <f t="shared" si="25"/>
        <v>0</v>
      </c>
      <c r="Q67" s="184">
        <f t="shared" si="25"/>
        <v>0</v>
      </c>
      <c r="R67" s="184">
        <f t="shared" si="25"/>
        <v>0</v>
      </c>
      <c r="S67" s="206"/>
      <c r="T67" s="175">
        <v>2</v>
      </c>
    </row>
    <row r="68" spans="1:20" ht="37.5">
      <c r="A68" s="222">
        <v>1</v>
      </c>
      <c r="B68" s="223" t="s">
        <v>763</v>
      </c>
      <c r="C68" s="217">
        <f>G68+K68+O68</f>
        <v>2462.6863945578234</v>
      </c>
      <c r="D68" s="316">
        <f>H68+L68+P68</f>
        <v>1723.6</v>
      </c>
      <c r="E68" s="217">
        <f>I68+M68+Q68</f>
        <v>90.9</v>
      </c>
      <c r="F68" s="217">
        <f>J68+N68+R68</f>
        <v>648.18639455782318</v>
      </c>
      <c r="G68" s="218">
        <f>H68+I68+J68</f>
        <v>2462.6863945578234</v>
      </c>
      <c r="H68" s="309">
        <v>1723.6</v>
      </c>
      <c r="I68" s="218">
        <v>90.9</v>
      </c>
      <c r="J68" s="218">
        <v>648.18639455782318</v>
      </c>
      <c r="K68" s="206"/>
      <c r="L68" s="206"/>
      <c r="M68" s="206"/>
      <c r="N68" s="206"/>
      <c r="O68" s="206"/>
      <c r="P68" s="206"/>
      <c r="Q68" s="206"/>
      <c r="R68" s="206"/>
      <c r="S68" s="206"/>
    </row>
    <row r="69" spans="1:20">
      <c r="A69" s="182" t="s">
        <v>714</v>
      </c>
      <c r="B69" s="183" t="s">
        <v>764</v>
      </c>
      <c r="C69" s="188">
        <f>SUM(C70:C71)</f>
        <v>2462.6863945578234</v>
      </c>
      <c r="D69" s="302">
        <f t="shared" ref="D69:R69" si="26">SUM(D70:D71)</f>
        <v>1723.6</v>
      </c>
      <c r="E69" s="184">
        <f t="shared" si="26"/>
        <v>90.9</v>
      </c>
      <c r="F69" s="184">
        <f t="shared" si="26"/>
        <v>648.18639455782318</v>
      </c>
      <c r="G69" s="184">
        <f t="shared" si="26"/>
        <v>2462.6863945578234</v>
      </c>
      <c r="H69" s="302">
        <f t="shared" si="26"/>
        <v>1723.6</v>
      </c>
      <c r="I69" s="184">
        <f t="shared" si="26"/>
        <v>90.9</v>
      </c>
      <c r="J69" s="184">
        <f t="shared" si="26"/>
        <v>648.18639455782318</v>
      </c>
      <c r="K69" s="184">
        <f t="shared" si="26"/>
        <v>0</v>
      </c>
      <c r="L69" s="184">
        <f t="shared" si="26"/>
        <v>0</v>
      </c>
      <c r="M69" s="184">
        <f t="shared" si="26"/>
        <v>0</v>
      </c>
      <c r="N69" s="184">
        <f t="shared" si="26"/>
        <v>0</v>
      </c>
      <c r="O69" s="184">
        <f t="shared" si="26"/>
        <v>0</v>
      </c>
      <c r="P69" s="184">
        <f t="shared" si="26"/>
        <v>0</v>
      </c>
      <c r="Q69" s="184">
        <f t="shared" si="26"/>
        <v>0</v>
      </c>
      <c r="R69" s="184">
        <f t="shared" si="26"/>
        <v>0</v>
      </c>
      <c r="S69" s="206"/>
      <c r="T69" s="175">
        <v>2</v>
      </c>
    </row>
    <row r="70" spans="1:20" ht="37.5">
      <c r="A70" s="222">
        <v>1</v>
      </c>
      <c r="B70" s="223" t="s">
        <v>765</v>
      </c>
      <c r="C70" s="193">
        <f t="shared" ref="C70:F71" si="27">G70+K70+O70</f>
        <v>1231.5431972789115</v>
      </c>
      <c r="D70" s="316">
        <f t="shared" si="27"/>
        <v>862</v>
      </c>
      <c r="E70" s="217">
        <f t="shared" si="27"/>
        <v>45.45</v>
      </c>
      <c r="F70" s="217">
        <f t="shared" si="27"/>
        <v>324.09319727891159</v>
      </c>
      <c r="G70" s="218">
        <f>H70+I70+J70</f>
        <v>1231.5431972789115</v>
      </c>
      <c r="H70" s="309">
        <v>862</v>
      </c>
      <c r="I70" s="218">
        <v>45.45</v>
      </c>
      <c r="J70" s="218">
        <v>324.09319727891159</v>
      </c>
      <c r="K70" s="206"/>
      <c r="L70" s="206"/>
      <c r="M70" s="206"/>
      <c r="N70" s="206"/>
      <c r="O70" s="206"/>
      <c r="P70" s="206"/>
      <c r="Q70" s="206"/>
      <c r="R70" s="206"/>
      <c r="S70" s="206"/>
    </row>
    <row r="71" spans="1:20" ht="37.5">
      <c r="A71" s="222">
        <v>2</v>
      </c>
      <c r="B71" s="223" t="s">
        <v>766</v>
      </c>
      <c r="C71" s="193">
        <f t="shared" si="27"/>
        <v>1231.1431972789117</v>
      </c>
      <c r="D71" s="316">
        <f t="shared" si="27"/>
        <v>861.6</v>
      </c>
      <c r="E71" s="217">
        <f t="shared" si="27"/>
        <v>45.45</v>
      </c>
      <c r="F71" s="217">
        <f t="shared" si="27"/>
        <v>324.09319727891159</v>
      </c>
      <c r="G71" s="218">
        <f>H71+I71+J71</f>
        <v>1231.1431972789117</v>
      </c>
      <c r="H71" s="309">
        <v>861.6</v>
      </c>
      <c r="I71" s="218">
        <v>45.45</v>
      </c>
      <c r="J71" s="218">
        <v>324.09319727891159</v>
      </c>
      <c r="K71" s="206"/>
      <c r="L71" s="206"/>
      <c r="M71" s="206"/>
      <c r="N71" s="206"/>
      <c r="O71" s="206"/>
      <c r="P71" s="206"/>
      <c r="Q71" s="206"/>
      <c r="R71" s="206"/>
      <c r="S71" s="206"/>
    </row>
    <row r="72" spans="1:20">
      <c r="A72" s="182" t="s">
        <v>767</v>
      </c>
      <c r="B72" s="183" t="s">
        <v>768</v>
      </c>
      <c r="C72" s="184">
        <f>SUM(C73:C74)</f>
        <v>2462.686394557823</v>
      </c>
      <c r="D72" s="302">
        <f t="shared" ref="D72:R72" si="28">SUM(D73:D74)</f>
        <v>1723.6</v>
      </c>
      <c r="E72" s="184">
        <f t="shared" si="28"/>
        <v>90.9</v>
      </c>
      <c r="F72" s="184">
        <f t="shared" si="28"/>
        <v>648.18639455782295</v>
      </c>
      <c r="G72" s="184">
        <f t="shared" si="28"/>
        <v>2462.686394557823</v>
      </c>
      <c r="H72" s="302">
        <f t="shared" si="28"/>
        <v>1723.6</v>
      </c>
      <c r="I72" s="184">
        <f t="shared" si="28"/>
        <v>90.9</v>
      </c>
      <c r="J72" s="184">
        <f t="shared" si="28"/>
        <v>648.18639455782295</v>
      </c>
      <c r="K72" s="184">
        <f t="shared" si="28"/>
        <v>0</v>
      </c>
      <c r="L72" s="184">
        <f t="shared" si="28"/>
        <v>0</v>
      </c>
      <c r="M72" s="184">
        <f t="shared" si="28"/>
        <v>0</v>
      </c>
      <c r="N72" s="184">
        <f t="shared" si="28"/>
        <v>0</v>
      </c>
      <c r="O72" s="184">
        <f t="shared" si="28"/>
        <v>0</v>
      </c>
      <c r="P72" s="184">
        <f t="shared" si="28"/>
        <v>0</v>
      </c>
      <c r="Q72" s="184">
        <f t="shared" si="28"/>
        <v>0</v>
      </c>
      <c r="R72" s="184">
        <f t="shared" si="28"/>
        <v>0</v>
      </c>
      <c r="S72" s="206"/>
      <c r="T72" s="175">
        <v>2</v>
      </c>
    </row>
    <row r="73" spans="1:20" ht="37.5">
      <c r="A73" s="222">
        <v>1</v>
      </c>
      <c r="B73" s="216" t="s">
        <v>769</v>
      </c>
      <c r="C73" s="217">
        <f t="shared" ref="C73:F74" si="29">G73+K73+O73</f>
        <v>2032.5346938775508</v>
      </c>
      <c r="D73" s="316">
        <f t="shared" si="29"/>
        <v>1423.6</v>
      </c>
      <c r="E73" s="217">
        <f>I73+M73+Q73</f>
        <v>74.5</v>
      </c>
      <c r="F73" s="217">
        <f t="shared" si="29"/>
        <v>534.4346938775509</v>
      </c>
      <c r="G73" s="218">
        <f>H73+I73+J73</f>
        <v>2032.5346938775508</v>
      </c>
      <c r="H73" s="312">
        <v>1423.6</v>
      </c>
      <c r="I73" s="224">
        <v>74.5</v>
      </c>
      <c r="J73" s="224">
        <v>534.4346938775509</v>
      </c>
      <c r="K73" s="206"/>
      <c r="L73" s="206"/>
      <c r="M73" s="206"/>
      <c r="N73" s="206"/>
      <c r="O73" s="206"/>
      <c r="P73" s="206"/>
      <c r="Q73" s="206"/>
      <c r="R73" s="206"/>
      <c r="S73" s="206"/>
    </row>
    <row r="74" spans="1:20" ht="37.5">
      <c r="A74" s="222">
        <v>2</v>
      </c>
      <c r="B74" s="223" t="s">
        <v>770</v>
      </c>
      <c r="C74" s="217">
        <f t="shared" si="29"/>
        <v>430.15170068027209</v>
      </c>
      <c r="D74" s="316">
        <f t="shared" si="29"/>
        <v>300</v>
      </c>
      <c r="E74" s="217">
        <f t="shared" si="29"/>
        <v>16.399999999999999</v>
      </c>
      <c r="F74" s="217">
        <f t="shared" si="29"/>
        <v>113.75170068027211</v>
      </c>
      <c r="G74" s="218">
        <f>H74+I74+J74</f>
        <v>430.15170068027209</v>
      </c>
      <c r="H74" s="313">
        <v>300</v>
      </c>
      <c r="I74" s="224">
        <v>16.399999999999999</v>
      </c>
      <c r="J74" s="224">
        <v>113.75170068027211</v>
      </c>
      <c r="K74" s="206"/>
      <c r="L74" s="206"/>
      <c r="M74" s="206"/>
      <c r="N74" s="206"/>
      <c r="O74" s="206"/>
      <c r="P74" s="206"/>
      <c r="Q74" s="206"/>
      <c r="R74" s="206"/>
      <c r="S74" s="206"/>
    </row>
    <row r="75" spans="1:20">
      <c r="A75" s="182" t="s">
        <v>771</v>
      </c>
      <c r="B75" s="183" t="s">
        <v>772</v>
      </c>
      <c r="C75" s="184">
        <f>SUM(C76:C77)</f>
        <v>2590.1999999999998</v>
      </c>
      <c r="D75" s="302">
        <f t="shared" ref="D75:R75" si="30">SUM(D76:D77)</f>
        <v>1723.6</v>
      </c>
      <c r="E75" s="184">
        <f t="shared" si="30"/>
        <v>90.9</v>
      </c>
      <c r="F75" s="184">
        <f t="shared" si="30"/>
        <v>775.7</v>
      </c>
      <c r="G75" s="184">
        <f t="shared" si="30"/>
        <v>2590.1999999999998</v>
      </c>
      <c r="H75" s="302">
        <f t="shared" si="30"/>
        <v>1723.6</v>
      </c>
      <c r="I75" s="184">
        <f t="shared" si="30"/>
        <v>90.9</v>
      </c>
      <c r="J75" s="184">
        <f t="shared" si="30"/>
        <v>775.7</v>
      </c>
      <c r="K75" s="184">
        <f t="shared" si="30"/>
        <v>0</v>
      </c>
      <c r="L75" s="184">
        <f t="shared" si="30"/>
        <v>0</v>
      </c>
      <c r="M75" s="184">
        <f t="shared" si="30"/>
        <v>0</v>
      </c>
      <c r="N75" s="184">
        <f t="shared" si="30"/>
        <v>0</v>
      </c>
      <c r="O75" s="184">
        <f t="shared" si="30"/>
        <v>0</v>
      </c>
      <c r="P75" s="184">
        <f t="shared" si="30"/>
        <v>0</v>
      </c>
      <c r="Q75" s="184">
        <f t="shared" si="30"/>
        <v>0</v>
      </c>
      <c r="R75" s="184">
        <f t="shared" si="30"/>
        <v>0</v>
      </c>
      <c r="S75" s="206"/>
      <c r="T75" s="175">
        <v>2</v>
      </c>
    </row>
    <row r="76" spans="1:20" s="226" customFormat="1" ht="37.5">
      <c r="A76" s="212">
        <v>1</v>
      </c>
      <c r="B76" s="214" t="s">
        <v>773</v>
      </c>
      <c r="C76" s="193">
        <f t="shared" ref="C76:F77" si="31">G76+K76+O76</f>
        <v>2071.6999999999998</v>
      </c>
      <c r="D76" s="315">
        <f t="shared" si="31"/>
        <v>1378.6</v>
      </c>
      <c r="E76" s="193">
        <f t="shared" si="31"/>
        <v>72.7</v>
      </c>
      <c r="F76" s="193">
        <f t="shared" si="31"/>
        <v>620.4</v>
      </c>
      <c r="G76" s="194">
        <f>H76+I76+J76</f>
        <v>2071.6999999999998</v>
      </c>
      <c r="H76" s="307">
        <v>1378.6</v>
      </c>
      <c r="I76" s="280">
        <v>72.7</v>
      </c>
      <c r="J76" s="194">
        <v>620.4</v>
      </c>
      <c r="K76" s="189"/>
      <c r="L76" s="189"/>
      <c r="M76" s="189"/>
      <c r="N76" s="189"/>
      <c r="O76" s="189"/>
      <c r="P76" s="189"/>
      <c r="Q76" s="189"/>
      <c r="R76" s="189"/>
      <c r="S76" s="189"/>
      <c r="T76" s="190"/>
    </row>
    <row r="77" spans="1:20" s="226" customFormat="1" ht="37.5">
      <c r="A77" s="212">
        <v>2</v>
      </c>
      <c r="B77" s="214" t="s">
        <v>774</v>
      </c>
      <c r="C77" s="193">
        <f t="shared" si="31"/>
        <v>518.5</v>
      </c>
      <c r="D77" s="315">
        <f t="shared" si="31"/>
        <v>345</v>
      </c>
      <c r="E77" s="193">
        <f t="shared" si="31"/>
        <v>18.2</v>
      </c>
      <c r="F77" s="193">
        <f t="shared" si="31"/>
        <v>155.30000000000001</v>
      </c>
      <c r="G77" s="194">
        <f>H77+I77+J77</f>
        <v>518.5</v>
      </c>
      <c r="H77" s="307">
        <v>345</v>
      </c>
      <c r="I77" s="194">
        <v>18.2</v>
      </c>
      <c r="J77" s="194">
        <v>155.30000000000001</v>
      </c>
      <c r="K77" s="189"/>
      <c r="L77" s="189"/>
      <c r="M77" s="189"/>
      <c r="N77" s="189"/>
      <c r="O77" s="189"/>
      <c r="P77" s="189"/>
      <c r="Q77" s="189"/>
      <c r="R77" s="189"/>
      <c r="S77" s="189"/>
      <c r="T77" s="190"/>
    </row>
    <row r="78" spans="1:20" s="226" customFormat="1">
      <c r="A78" s="227"/>
      <c r="B78" s="228"/>
      <c r="C78" s="229"/>
      <c r="D78" s="229"/>
      <c r="E78" s="229"/>
      <c r="F78" s="229"/>
      <c r="T78" s="190"/>
    </row>
    <row r="79" spans="1:20" s="226" customFormat="1">
      <c r="A79" s="227"/>
      <c r="B79" s="228"/>
      <c r="C79" s="229"/>
      <c r="D79" s="229"/>
      <c r="E79" s="229"/>
      <c r="F79" s="229"/>
      <c r="T79" s="190"/>
    </row>
    <row r="80" spans="1:20" s="226" customFormat="1">
      <c r="A80" s="227"/>
      <c r="B80" s="228"/>
      <c r="C80" s="229"/>
      <c r="D80" s="229"/>
      <c r="E80" s="229"/>
      <c r="F80" s="229"/>
      <c r="T80" s="190"/>
    </row>
    <row r="81" spans="1:20" s="226" customFormat="1">
      <c r="A81" s="227"/>
      <c r="B81" s="228"/>
      <c r="C81" s="229"/>
      <c r="D81" s="229"/>
      <c r="E81" s="229"/>
      <c r="F81" s="229"/>
      <c r="T81" s="190"/>
    </row>
    <row r="82" spans="1:20" s="226" customFormat="1">
      <c r="A82" s="227"/>
      <c r="B82" s="228"/>
      <c r="C82" s="229"/>
      <c r="D82" s="229"/>
      <c r="E82" s="229"/>
      <c r="F82" s="229"/>
      <c r="T82" s="190"/>
    </row>
  </sheetData>
  <mergeCells count="20">
    <mergeCell ref="K7:N7"/>
    <mergeCell ref="O7:R7"/>
    <mergeCell ref="G8:G9"/>
    <mergeCell ref="H8:J8"/>
    <mergeCell ref="K8:K9"/>
    <mergeCell ref="L8:N8"/>
    <mergeCell ref="O8:O9"/>
    <mergeCell ref="P8:R8"/>
    <mergeCell ref="A1:F1"/>
    <mergeCell ref="A2:S2"/>
    <mergeCell ref="A3:S3"/>
    <mergeCell ref="P4:S4"/>
    <mergeCell ref="A5:A9"/>
    <mergeCell ref="B5:B9"/>
    <mergeCell ref="C5:R5"/>
    <mergeCell ref="S5:S9"/>
    <mergeCell ref="C6:C9"/>
    <mergeCell ref="D6:F8"/>
    <mergeCell ref="G6:R6"/>
    <mergeCell ref="G7:J7"/>
  </mergeCells>
  <pageMargins left="0.7" right="0.2" top="0.5" bottom="0.5" header="0.05" footer="0.05"/>
  <pageSetup paperSize="8" scale="52" orientation="landscape" r:id="rId1"/>
  <colBreaks count="1" manualBreakCount="1">
    <brk id="20" max="81" man="1"/>
  </colBreaks>
</worksheet>
</file>

<file path=xl/worksheets/sheet9.xml><?xml version="1.0" encoding="utf-8"?>
<worksheet xmlns="http://schemas.openxmlformats.org/spreadsheetml/2006/main" xmlns:r="http://schemas.openxmlformats.org/officeDocument/2006/relationships">
  <dimension ref="A1:Q27"/>
  <sheetViews>
    <sheetView view="pageBreakPreview" zoomScale="60" zoomScaleNormal="70" workbookViewId="0">
      <selection activeCell="A3" sqref="A3:Q3"/>
    </sheetView>
  </sheetViews>
  <sheetFormatPr defaultRowHeight="15"/>
  <cols>
    <col min="1" max="1" width="9.140625" style="170"/>
    <col min="2" max="2" width="28.28515625" style="170" customWidth="1"/>
    <col min="3" max="10" width="15.7109375" style="170" customWidth="1"/>
    <col min="11" max="11" width="12.85546875" style="170" customWidth="1"/>
    <col min="12" max="12" width="16" style="170" customWidth="1"/>
    <col min="13" max="17" width="12.85546875" style="170" customWidth="1"/>
    <col min="18" max="16384" width="9.140625" style="170"/>
  </cols>
  <sheetData>
    <row r="1" spans="1:17" customFormat="1" ht="16.5">
      <c r="A1" s="695" t="s">
        <v>791</v>
      </c>
      <c r="B1" s="695"/>
      <c r="C1" s="169"/>
      <c r="D1" s="169"/>
      <c r="E1" s="169"/>
      <c r="F1" s="169"/>
      <c r="G1" s="169"/>
      <c r="H1" s="104"/>
      <c r="I1" s="104"/>
      <c r="J1" s="104"/>
      <c r="K1" s="104"/>
      <c r="L1" s="104"/>
      <c r="M1" s="104"/>
      <c r="N1" s="104"/>
      <c r="O1" s="104"/>
      <c r="P1" s="105"/>
      <c r="Q1" s="104"/>
    </row>
    <row r="2" spans="1:17" customFormat="1" ht="18.75">
      <c r="A2" s="696" t="s">
        <v>792</v>
      </c>
      <c r="B2" s="696"/>
      <c r="C2" s="696"/>
      <c r="D2" s="696"/>
      <c r="E2" s="696"/>
      <c r="F2" s="696"/>
      <c r="G2" s="696"/>
      <c r="H2" s="696"/>
      <c r="I2" s="696"/>
      <c r="J2" s="696"/>
      <c r="K2" s="696"/>
      <c r="L2" s="696"/>
      <c r="M2" s="696"/>
      <c r="N2" s="696"/>
      <c r="O2" s="696"/>
      <c r="P2" s="696"/>
      <c r="Q2" s="696"/>
    </row>
    <row r="3" spans="1:17" customFormat="1" ht="18.75">
      <c r="A3" s="697" t="s">
        <v>913</v>
      </c>
      <c r="B3" s="697"/>
      <c r="C3" s="697"/>
      <c r="D3" s="697"/>
      <c r="E3" s="697"/>
      <c r="F3" s="697"/>
      <c r="G3" s="697"/>
      <c r="H3" s="697"/>
      <c r="I3" s="697"/>
      <c r="J3" s="697"/>
      <c r="K3" s="697"/>
      <c r="L3" s="697"/>
      <c r="M3" s="697"/>
      <c r="N3" s="697"/>
      <c r="O3" s="697"/>
      <c r="P3" s="697"/>
      <c r="Q3" s="697"/>
    </row>
    <row r="4" spans="1:17" customFormat="1" ht="19.5">
      <c r="A4" s="106"/>
      <c r="B4" s="106"/>
      <c r="C4" s="106"/>
      <c r="D4" s="106"/>
      <c r="E4" s="106"/>
      <c r="F4" s="106"/>
      <c r="G4" s="106"/>
      <c r="H4" s="106"/>
      <c r="I4" s="106"/>
      <c r="J4" s="106"/>
      <c r="K4" s="106"/>
      <c r="L4" s="106"/>
      <c r="M4" s="106"/>
      <c r="N4" s="106"/>
      <c r="O4" s="698" t="s">
        <v>778</v>
      </c>
      <c r="P4" s="698"/>
      <c r="Q4" s="698"/>
    </row>
    <row r="5" spans="1:17" customFormat="1" ht="18.75">
      <c r="A5" s="699" t="s">
        <v>1</v>
      </c>
      <c r="B5" s="699" t="s">
        <v>779</v>
      </c>
      <c r="C5" s="702" t="s">
        <v>780</v>
      </c>
      <c r="D5" s="703"/>
      <c r="E5" s="703"/>
      <c r="F5" s="703"/>
      <c r="G5" s="703"/>
      <c r="H5" s="706" t="s">
        <v>790</v>
      </c>
      <c r="I5" s="706"/>
      <c r="J5" s="706"/>
      <c r="K5" s="706"/>
      <c r="L5" s="706"/>
      <c r="M5" s="706"/>
      <c r="N5" s="706"/>
      <c r="O5" s="706"/>
      <c r="P5" s="706"/>
      <c r="Q5" s="707"/>
    </row>
    <row r="6" spans="1:17" customFormat="1" ht="49.5" customHeight="1">
      <c r="A6" s="700"/>
      <c r="B6" s="700"/>
      <c r="C6" s="704"/>
      <c r="D6" s="705"/>
      <c r="E6" s="705"/>
      <c r="F6" s="705"/>
      <c r="G6" s="705"/>
      <c r="H6" s="692" t="s">
        <v>781</v>
      </c>
      <c r="I6" s="708"/>
      <c r="J6" s="692"/>
      <c r="K6" s="692"/>
      <c r="L6" s="692"/>
      <c r="M6" s="709" t="s">
        <v>782</v>
      </c>
      <c r="N6" s="710"/>
      <c r="O6" s="710"/>
      <c r="P6" s="710"/>
      <c r="Q6" s="711"/>
    </row>
    <row r="7" spans="1:17" customFormat="1" ht="18.75">
      <c r="A7" s="700"/>
      <c r="B7" s="700"/>
      <c r="C7" s="692" t="s">
        <v>783</v>
      </c>
      <c r="D7" s="693" t="s">
        <v>703</v>
      </c>
      <c r="E7" s="693"/>
      <c r="F7" s="693"/>
      <c r="G7" s="693"/>
      <c r="H7" s="692" t="s">
        <v>783</v>
      </c>
      <c r="I7" s="693" t="s">
        <v>703</v>
      </c>
      <c r="J7" s="693"/>
      <c r="K7" s="693"/>
      <c r="L7" s="693"/>
      <c r="M7" s="692" t="s">
        <v>783</v>
      </c>
      <c r="N7" s="693" t="s">
        <v>703</v>
      </c>
      <c r="O7" s="693"/>
      <c r="P7" s="693"/>
      <c r="Q7" s="693"/>
    </row>
    <row r="8" spans="1:17" customFormat="1" ht="18.75">
      <c r="A8" s="700"/>
      <c r="B8" s="700"/>
      <c r="C8" s="692"/>
      <c r="D8" s="693" t="s">
        <v>52</v>
      </c>
      <c r="E8" s="693"/>
      <c r="F8" s="693"/>
      <c r="G8" s="694" t="s">
        <v>705</v>
      </c>
      <c r="H8" s="692"/>
      <c r="I8" s="693" t="s">
        <v>52</v>
      </c>
      <c r="J8" s="693"/>
      <c r="K8" s="693"/>
      <c r="L8" s="694" t="s">
        <v>705</v>
      </c>
      <c r="M8" s="692"/>
      <c r="N8" s="693" t="s">
        <v>52</v>
      </c>
      <c r="O8" s="693"/>
      <c r="P8" s="693"/>
      <c r="Q8" s="693" t="s">
        <v>784</v>
      </c>
    </row>
    <row r="9" spans="1:17" customFormat="1" ht="112.5">
      <c r="A9" s="701"/>
      <c r="B9" s="701"/>
      <c r="C9" s="692"/>
      <c r="D9" s="168" t="s">
        <v>563</v>
      </c>
      <c r="E9" s="167" t="s">
        <v>785</v>
      </c>
      <c r="F9" s="168" t="s">
        <v>52</v>
      </c>
      <c r="G9" s="694"/>
      <c r="H9" s="692"/>
      <c r="I9" s="168" t="s">
        <v>563</v>
      </c>
      <c r="J9" s="167" t="s">
        <v>785</v>
      </c>
      <c r="K9" s="168" t="s">
        <v>52</v>
      </c>
      <c r="L9" s="694"/>
      <c r="M9" s="692"/>
      <c r="N9" s="168" t="s">
        <v>563</v>
      </c>
      <c r="O9" s="167" t="s">
        <v>786</v>
      </c>
      <c r="P9" s="167" t="s">
        <v>787</v>
      </c>
      <c r="Q9" s="693"/>
    </row>
    <row r="10" spans="1:17" customFormat="1" ht="19.5">
      <c r="A10" s="121" t="s">
        <v>551</v>
      </c>
      <c r="B10" s="122" t="s">
        <v>715</v>
      </c>
      <c r="C10" s="107">
        <v>27720.2</v>
      </c>
      <c r="D10" s="109">
        <v>25072.5</v>
      </c>
      <c r="E10" s="108">
        <v>24632.999999999996</v>
      </c>
      <c r="F10" s="108">
        <v>439.5</v>
      </c>
      <c r="G10" s="108">
        <v>2647.7</v>
      </c>
      <c r="H10" s="172">
        <v>26328.2</v>
      </c>
      <c r="I10" s="109">
        <v>23817.5</v>
      </c>
      <c r="J10" s="123">
        <v>23398.999999999996</v>
      </c>
      <c r="K10" s="123">
        <v>418.5</v>
      </c>
      <c r="L10" s="123">
        <v>2510.6999999999998</v>
      </c>
      <c r="M10" s="123">
        <v>1392</v>
      </c>
      <c r="N10" s="107">
        <v>1255</v>
      </c>
      <c r="O10" s="123">
        <v>1234</v>
      </c>
      <c r="P10" s="123">
        <v>21</v>
      </c>
      <c r="Q10" s="123">
        <v>137</v>
      </c>
    </row>
    <row r="11" spans="1:17" customFormat="1" ht="19.5">
      <c r="A11" s="110"/>
      <c r="B11" s="115" t="s">
        <v>788</v>
      </c>
      <c r="C11" s="109">
        <v>27720.2</v>
      </c>
      <c r="D11" s="109">
        <v>25072.499999999996</v>
      </c>
      <c r="E11" s="108">
        <v>24632.999999999996</v>
      </c>
      <c r="F11" s="111">
        <v>439.5</v>
      </c>
      <c r="G11" s="111">
        <v>2647.7</v>
      </c>
      <c r="H11" s="171">
        <v>26328.199999999993</v>
      </c>
      <c r="I11" s="109">
        <v>23817.499999999996</v>
      </c>
      <c r="J11" s="120">
        <v>23398.999999999996</v>
      </c>
      <c r="K11" s="120">
        <v>418.5</v>
      </c>
      <c r="L11" s="120">
        <v>2510.6999999999998</v>
      </c>
      <c r="M11" s="120">
        <v>1392</v>
      </c>
      <c r="N11" s="109">
        <v>1255</v>
      </c>
      <c r="O11" s="120">
        <v>1234</v>
      </c>
      <c r="P11" s="120">
        <v>21</v>
      </c>
      <c r="Q11" s="120">
        <v>137</v>
      </c>
    </row>
    <row r="12" spans="1:17" customFormat="1" ht="18.75">
      <c r="A12" s="124">
        <v>1</v>
      </c>
      <c r="B12" s="125" t="s">
        <v>434</v>
      </c>
      <c r="C12" s="112">
        <v>0</v>
      </c>
      <c r="D12" s="113">
        <v>0</v>
      </c>
      <c r="E12" s="114">
        <v>0</v>
      </c>
      <c r="F12" s="114">
        <v>0</v>
      </c>
      <c r="G12" s="114">
        <v>0</v>
      </c>
      <c r="H12" s="112">
        <v>0</v>
      </c>
      <c r="I12" s="113">
        <v>0</v>
      </c>
      <c r="J12" s="118">
        <v>0</v>
      </c>
      <c r="K12" s="117"/>
      <c r="L12" s="112"/>
      <c r="M12" s="112"/>
      <c r="N12" s="113"/>
      <c r="O12" s="118"/>
      <c r="P12" s="119"/>
      <c r="Q12" s="118"/>
    </row>
    <row r="13" spans="1:17" customFormat="1" ht="18.75">
      <c r="A13" s="124">
        <v>2</v>
      </c>
      <c r="B13" s="125" t="s">
        <v>223</v>
      </c>
      <c r="C13" s="112">
        <v>0</v>
      </c>
      <c r="D13" s="113">
        <v>849.4</v>
      </c>
      <c r="E13" s="114">
        <v>430.9</v>
      </c>
      <c r="F13" s="114">
        <v>418.5</v>
      </c>
      <c r="G13" s="114">
        <v>2510.6999999999998</v>
      </c>
      <c r="H13" s="112">
        <v>3360.1</v>
      </c>
      <c r="I13" s="113">
        <v>849.4</v>
      </c>
      <c r="J13" s="112">
        <v>430.9</v>
      </c>
      <c r="K13" s="117">
        <v>418.5</v>
      </c>
      <c r="L13" s="117">
        <v>2510.6999999999998</v>
      </c>
      <c r="M13" s="112"/>
      <c r="N13" s="113"/>
      <c r="O13" s="118"/>
      <c r="P13" s="119"/>
      <c r="Q13" s="118"/>
    </row>
    <row r="14" spans="1:17" customFormat="1" ht="18.75">
      <c r="A14" s="124">
        <v>3</v>
      </c>
      <c r="B14" s="125" t="s">
        <v>118</v>
      </c>
      <c r="C14" s="112">
        <v>561.29999999999995</v>
      </c>
      <c r="D14" s="113">
        <v>561.29999999999995</v>
      </c>
      <c r="E14" s="114">
        <v>561.29999999999995</v>
      </c>
      <c r="F14" s="114">
        <v>0</v>
      </c>
      <c r="G14" s="114">
        <v>0</v>
      </c>
      <c r="H14" s="112">
        <v>561.29999999999995</v>
      </c>
      <c r="I14" s="113">
        <v>561.29999999999995</v>
      </c>
      <c r="J14" s="112">
        <v>561.29999999999995</v>
      </c>
      <c r="K14" s="118">
        <v>0</v>
      </c>
      <c r="L14" s="118">
        <v>0</v>
      </c>
      <c r="M14" s="112"/>
      <c r="N14" s="113"/>
      <c r="O14" s="118"/>
      <c r="P14" s="112"/>
      <c r="Q14" s="112"/>
    </row>
    <row r="15" spans="1:17" customFormat="1" ht="18.75">
      <c r="A15" s="124">
        <v>4</v>
      </c>
      <c r="B15" s="125" t="s">
        <v>186</v>
      </c>
      <c r="C15" s="112">
        <v>1723.6</v>
      </c>
      <c r="D15" s="113">
        <v>1723.6</v>
      </c>
      <c r="E15" s="114">
        <v>1723.6</v>
      </c>
      <c r="F15" s="114">
        <v>0</v>
      </c>
      <c r="G15" s="114">
        <v>0</v>
      </c>
      <c r="H15" s="112">
        <v>1723.6</v>
      </c>
      <c r="I15" s="113">
        <v>1723.6</v>
      </c>
      <c r="J15" s="112">
        <v>1723.6</v>
      </c>
      <c r="K15" s="118">
        <v>0</v>
      </c>
      <c r="L15" s="118">
        <v>0</v>
      </c>
      <c r="M15" s="112"/>
      <c r="N15" s="113"/>
      <c r="O15" s="118"/>
      <c r="P15" s="112"/>
      <c r="Q15" s="112"/>
    </row>
    <row r="16" spans="1:17" customFormat="1" ht="18.75">
      <c r="A16" s="124">
        <v>5</v>
      </c>
      <c r="B16" s="125" t="s">
        <v>246</v>
      </c>
      <c r="C16" s="112">
        <v>1723.6</v>
      </c>
      <c r="D16" s="113">
        <v>1723.6</v>
      </c>
      <c r="E16" s="114">
        <v>1723.6</v>
      </c>
      <c r="F16" s="114">
        <v>0</v>
      </c>
      <c r="G16" s="114">
        <v>0</v>
      </c>
      <c r="H16" s="112">
        <v>1723.6</v>
      </c>
      <c r="I16" s="113">
        <v>1723.6</v>
      </c>
      <c r="J16" s="112">
        <v>1723.6</v>
      </c>
      <c r="K16" s="118">
        <v>0</v>
      </c>
      <c r="L16" s="118">
        <v>0</v>
      </c>
      <c r="M16" s="112"/>
      <c r="N16" s="113"/>
      <c r="O16" s="118"/>
      <c r="P16" s="112"/>
      <c r="Q16" s="112"/>
    </row>
    <row r="17" spans="1:17" customFormat="1" ht="18.75">
      <c r="A17" s="124">
        <v>6</v>
      </c>
      <c r="B17" s="125" t="s">
        <v>393</v>
      </c>
      <c r="C17" s="112">
        <v>1723.6</v>
      </c>
      <c r="D17" s="113">
        <v>1723.6</v>
      </c>
      <c r="E17" s="114">
        <v>1723.6</v>
      </c>
      <c r="F17" s="114">
        <v>0</v>
      </c>
      <c r="G17" s="114">
        <v>0</v>
      </c>
      <c r="H17" s="112">
        <v>1723.6</v>
      </c>
      <c r="I17" s="113">
        <v>1723.6</v>
      </c>
      <c r="J17" s="112">
        <v>1723.6</v>
      </c>
      <c r="K17" s="118">
        <v>0</v>
      </c>
      <c r="L17" s="118">
        <v>0</v>
      </c>
      <c r="M17" s="112"/>
      <c r="N17" s="113"/>
      <c r="O17" s="118"/>
      <c r="P17" s="112"/>
      <c r="Q17" s="112"/>
    </row>
    <row r="18" spans="1:17" customFormat="1" ht="18.75">
      <c r="A18" s="124">
        <v>7</v>
      </c>
      <c r="B18" s="125" t="s">
        <v>443</v>
      </c>
      <c r="C18" s="112">
        <v>1723.6</v>
      </c>
      <c r="D18" s="113">
        <v>1723.6</v>
      </c>
      <c r="E18" s="114">
        <v>1723.6</v>
      </c>
      <c r="F18" s="114">
        <v>0</v>
      </c>
      <c r="G18" s="114">
        <v>0</v>
      </c>
      <c r="H18" s="112">
        <v>1723.6</v>
      </c>
      <c r="I18" s="113">
        <v>1723.6</v>
      </c>
      <c r="J18" s="112">
        <v>1723.6</v>
      </c>
      <c r="K18" s="118">
        <v>0</v>
      </c>
      <c r="L18" s="118">
        <v>0</v>
      </c>
      <c r="M18" s="112"/>
      <c r="N18" s="113"/>
      <c r="O18" s="118"/>
      <c r="P18" s="112"/>
      <c r="Q18" s="112"/>
    </row>
    <row r="19" spans="1:17" ht="18.75">
      <c r="A19" s="124">
        <v>8</v>
      </c>
      <c r="B19" s="125" t="s">
        <v>789</v>
      </c>
      <c r="C19" s="112">
        <v>1723.6</v>
      </c>
      <c r="D19" s="113">
        <v>1723.6</v>
      </c>
      <c r="E19" s="114">
        <v>1723.6</v>
      </c>
      <c r="F19" s="114">
        <v>0</v>
      </c>
      <c r="G19" s="114">
        <v>0</v>
      </c>
      <c r="H19" s="112">
        <v>1723.6</v>
      </c>
      <c r="I19" s="113">
        <v>1723.6</v>
      </c>
      <c r="J19" s="112">
        <v>1723.6</v>
      </c>
      <c r="K19" s="118">
        <v>0</v>
      </c>
      <c r="L19" s="118">
        <v>0</v>
      </c>
      <c r="M19" s="112"/>
      <c r="N19" s="113"/>
      <c r="O19" s="118"/>
      <c r="P19" s="112"/>
      <c r="Q19" s="112"/>
    </row>
    <row r="20" spans="1:17" ht="18.75">
      <c r="A20" s="124">
        <v>9</v>
      </c>
      <c r="B20" s="125" t="s">
        <v>359</v>
      </c>
      <c r="C20" s="112">
        <v>1723.6</v>
      </c>
      <c r="D20" s="113">
        <v>1723.6</v>
      </c>
      <c r="E20" s="114">
        <v>1723.6</v>
      </c>
      <c r="F20" s="114">
        <v>0</v>
      </c>
      <c r="G20" s="114">
        <v>0</v>
      </c>
      <c r="H20" s="112">
        <v>1723.6</v>
      </c>
      <c r="I20" s="113">
        <v>1723.6</v>
      </c>
      <c r="J20" s="112">
        <v>1723.6</v>
      </c>
      <c r="K20" s="118">
        <v>0</v>
      </c>
      <c r="L20" s="118">
        <v>0</v>
      </c>
      <c r="M20" s="112"/>
      <c r="N20" s="113"/>
      <c r="O20" s="118"/>
      <c r="P20" s="112"/>
      <c r="Q20" s="112"/>
    </row>
    <row r="21" spans="1:17" ht="18.75">
      <c r="A21" s="124">
        <v>10</v>
      </c>
      <c r="B21" s="125" t="s">
        <v>303</v>
      </c>
      <c r="C21" s="112">
        <v>1723.6</v>
      </c>
      <c r="D21" s="113">
        <v>1723.6</v>
      </c>
      <c r="E21" s="114">
        <v>1723.6</v>
      </c>
      <c r="F21" s="114">
        <v>0</v>
      </c>
      <c r="G21" s="114">
        <v>0</v>
      </c>
      <c r="H21" s="112">
        <v>1723.6</v>
      </c>
      <c r="I21" s="113">
        <v>1723.6</v>
      </c>
      <c r="J21" s="112">
        <v>1723.6</v>
      </c>
      <c r="K21" s="118">
        <v>0</v>
      </c>
      <c r="L21" s="118">
        <v>0</v>
      </c>
      <c r="M21" s="112"/>
      <c r="N21" s="113"/>
      <c r="O21" s="118"/>
      <c r="P21" s="112"/>
      <c r="Q21" s="112"/>
    </row>
    <row r="22" spans="1:17" ht="18.75">
      <c r="A22" s="124">
        <v>11</v>
      </c>
      <c r="B22" s="125" t="s">
        <v>91</v>
      </c>
      <c r="C22" s="112">
        <v>1723.6</v>
      </c>
      <c r="D22" s="113">
        <v>1723.6</v>
      </c>
      <c r="E22" s="114">
        <v>1723.6</v>
      </c>
      <c r="F22" s="114">
        <v>0</v>
      </c>
      <c r="G22" s="114">
        <v>0</v>
      </c>
      <c r="H22" s="112">
        <v>1723.6</v>
      </c>
      <c r="I22" s="113">
        <v>1723.6</v>
      </c>
      <c r="J22" s="112">
        <v>1723.6</v>
      </c>
      <c r="K22" s="118">
        <v>0</v>
      </c>
      <c r="L22" s="118">
        <v>0</v>
      </c>
      <c r="M22" s="112"/>
      <c r="N22" s="113"/>
      <c r="O22" s="118"/>
      <c r="P22" s="112"/>
      <c r="Q22" s="112"/>
    </row>
    <row r="23" spans="1:17" ht="18.75">
      <c r="A23" s="124">
        <v>12</v>
      </c>
      <c r="B23" s="125" t="s">
        <v>275</v>
      </c>
      <c r="C23" s="112">
        <v>1723.6</v>
      </c>
      <c r="D23" s="113">
        <v>1723.6</v>
      </c>
      <c r="E23" s="114">
        <v>1723.6</v>
      </c>
      <c r="F23" s="114">
        <v>0</v>
      </c>
      <c r="G23" s="114">
        <v>0</v>
      </c>
      <c r="H23" s="112">
        <v>1723.6</v>
      </c>
      <c r="I23" s="113">
        <v>1723.6</v>
      </c>
      <c r="J23" s="112">
        <v>1723.6</v>
      </c>
      <c r="K23" s="118">
        <v>0</v>
      </c>
      <c r="L23" s="118">
        <v>0</v>
      </c>
      <c r="M23" s="112"/>
      <c r="N23" s="113"/>
      <c r="O23" s="118"/>
      <c r="P23" s="112"/>
      <c r="Q23" s="112"/>
    </row>
    <row r="24" spans="1:17" ht="18.75">
      <c r="A24" s="124">
        <v>13</v>
      </c>
      <c r="B24" s="125" t="s">
        <v>148</v>
      </c>
      <c r="C24" s="112">
        <v>1723.6</v>
      </c>
      <c r="D24" s="113">
        <v>1723.6</v>
      </c>
      <c r="E24" s="114">
        <v>1723.6</v>
      </c>
      <c r="F24" s="114">
        <v>0</v>
      </c>
      <c r="G24" s="114">
        <v>0</v>
      </c>
      <c r="H24" s="112">
        <v>1723.6</v>
      </c>
      <c r="I24" s="113">
        <v>1723.6</v>
      </c>
      <c r="J24" s="112">
        <v>1723.6</v>
      </c>
      <c r="K24" s="118">
        <v>0</v>
      </c>
      <c r="L24" s="118">
        <v>0</v>
      </c>
      <c r="M24" s="112"/>
      <c r="N24" s="113"/>
      <c r="O24" s="118"/>
      <c r="P24" s="112"/>
      <c r="Q24" s="112"/>
    </row>
    <row r="25" spans="1:17" ht="18.75">
      <c r="A25" s="124">
        <v>14</v>
      </c>
      <c r="B25" s="126" t="s">
        <v>500</v>
      </c>
      <c r="C25" s="112">
        <v>1723.6</v>
      </c>
      <c r="D25" s="113">
        <v>1723.6</v>
      </c>
      <c r="E25" s="114">
        <v>1723.6</v>
      </c>
      <c r="F25" s="114">
        <v>0</v>
      </c>
      <c r="G25" s="114">
        <v>0</v>
      </c>
      <c r="H25" s="112">
        <v>1723.6</v>
      </c>
      <c r="I25" s="113">
        <v>1723.6</v>
      </c>
      <c r="J25" s="112">
        <v>1723.6</v>
      </c>
      <c r="K25" s="118">
        <v>0</v>
      </c>
      <c r="L25" s="118">
        <v>0</v>
      </c>
      <c r="M25" s="112"/>
      <c r="N25" s="113"/>
      <c r="O25" s="118"/>
      <c r="P25" s="112"/>
      <c r="Q25" s="112"/>
    </row>
    <row r="26" spans="1:17" ht="18.75">
      <c r="A26" s="124">
        <v>15</v>
      </c>
      <c r="B26" s="116" t="s">
        <v>138</v>
      </c>
      <c r="C26" s="112">
        <v>1723.6</v>
      </c>
      <c r="D26" s="113">
        <v>1723.6</v>
      </c>
      <c r="E26" s="114">
        <v>1723.6</v>
      </c>
      <c r="F26" s="114">
        <v>0</v>
      </c>
      <c r="G26" s="114">
        <v>0</v>
      </c>
      <c r="H26" s="112">
        <v>1723.6</v>
      </c>
      <c r="I26" s="113">
        <v>1723.6</v>
      </c>
      <c r="J26" s="112">
        <v>1723.6</v>
      </c>
      <c r="K26" s="118">
        <v>0</v>
      </c>
      <c r="L26" s="118">
        <v>0</v>
      </c>
      <c r="M26" s="112"/>
      <c r="N26" s="113"/>
      <c r="O26" s="118"/>
      <c r="P26" s="112"/>
      <c r="Q26" s="112"/>
    </row>
    <row r="27" spans="1:17" ht="18.75">
      <c r="A27" s="124">
        <v>16</v>
      </c>
      <c r="B27" s="126" t="s">
        <v>328</v>
      </c>
      <c r="C27" s="112">
        <v>1723.6</v>
      </c>
      <c r="D27" s="113">
        <v>1723.6</v>
      </c>
      <c r="E27" s="114">
        <v>1723.6</v>
      </c>
      <c r="F27" s="114">
        <v>0</v>
      </c>
      <c r="G27" s="114">
        <v>0</v>
      </c>
      <c r="H27" s="112">
        <v>1723.6</v>
      </c>
      <c r="I27" s="113">
        <v>1723.6</v>
      </c>
      <c r="J27" s="112">
        <v>1723.6</v>
      </c>
      <c r="K27" s="118">
        <v>0</v>
      </c>
      <c r="L27" s="118">
        <v>0</v>
      </c>
      <c r="M27" s="112"/>
      <c r="N27" s="113"/>
      <c r="O27" s="118"/>
      <c r="P27" s="112"/>
      <c r="Q27" s="112"/>
    </row>
  </sheetData>
  <mergeCells count="22">
    <mergeCell ref="A1:B1"/>
    <mergeCell ref="A2:Q2"/>
    <mergeCell ref="A3:Q3"/>
    <mergeCell ref="O4:Q4"/>
    <mergeCell ref="A5:A9"/>
    <mergeCell ref="B5:B9"/>
    <mergeCell ref="C5:G6"/>
    <mergeCell ref="H5:Q5"/>
    <mergeCell ref="H6:L6"/>
    <mergeCell ref="M6:Q6"/>
    <mergeCell ref="N8:P8"/>
    <mergeCell ref="Q8:Q9"/>
    <mergeCell ref="C7:C9"/>
    <mergeCell ref="D7:G7"/>
    <mergeCell ref="H7:H9"/>
    <mergeCell ref="I7:L7"/>
    <mergeCell ref="M7:M9"/>
    <mergeCell ref="N7:Q7"/>
    <mergeCell ref="D8:F8"/>
    <mergeCell ref="G8:G9"/>
    <mergeCell ref="I8:K8"/>
    <mergeCell ref="L8:L9"/>
  </mergeCells>
  <pageMargins left="0.7" right="0.7" top="0.75" bottom="0.75" header="0.3" footer="0.3"/>
  <pageSetup paperSize="9" scale="5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14</vt:i4>
      </vt:variant>
      <vt:variant>
        <vt:lpstr>Phạm vi có Tên</vt:lpstr>
      </vt:variant>
      <vt:variant>
        <vt:i4>13</vt:i4>
      </vt:variant>
    </vt:vector>
  </HeadingPairs>
  <TitlesOfParts>
    <vt:vector size="27" baseType="lpstr">
      <vt:lpstr>Biểu số 01</vt:lpstr>
      <vt:lpstr>Phụ lục 1 (5)</vt:lpstr>
      <vt:lpstr>Phụ lục 1 (4)</vt:lpstr>
      <vt:lpstr>Phụ lục 01</vt:lpstr>
      <vt:lpstr>Phụ lục 1</vt:lpstr>
      <vt:lpstr>Phụ lục 2</vt:lpstr>
      <vt:lpstr>Phụ lục 3</vt:lpstr>
      <vt:lpstr>Phụ lục 4</vt:lpstr>
      <vt:lpstr>DỰ KIẾN DANH MỤC</vt:lpstr>
      <vt:lpstr>NĂM 2022</vt:lpstr>
      <vt:lpstr>NĂM 2023</vt:lpstr>
      <vt:lpstr>NĂM 2024</vt:lpstr>
      <vt:lpstr>NĂM 2025</vt:lpstr>
      <vt:lpstr>Phụ lục số 01 DTTS</vt:lpstr>
      <vt:lpstr>'Biểu số 01'!Print_Area</vt:lpstr>
      <vt:lpstr>'DỰ KIẾN DANH MỤC'!Print_Area</vt:lpstr>
      <vt:lpstr>'NĂM 2022'!Print_Area</vt:lpstr>
      <vt:lpstr>'Phụ lục 01'!Print_Area</vt:lpstr>
      <vt:lpstr>'Phụ lục 1'!Print_Area</vt:lpstr>
      <vt:lpstr>'Phụ lục 1 (4)'!Print_Area</vt:lpstr>
      <vt:lpstr>'Phụ lục 1 (5)'!Print_Area</vt:lpstr>
      <vt:lpstr>'Phụ lục 3'!Print_Area</vt:lpstr>
      <vt:lpstr>'Phụ lục số 01 DTTS'!Print_Area</vt:lpstr>
      <vt:lpstr>'Biểu số 01'!Print_Titles</vt:lpstr>
      <vt:lpstr>'DỰ KIẾN DANH MỤC'!Print_Titles</vt:lpstr>
      <vt:lpstr>'NĂM 2022'!Print_Titles</vt:lpstr>
      <vt:lpstr>'Phụ lục số 01 DTTS'!Print_Titles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2024-11-08T06:40:25Z</dcterms:modified>
</cp:coreProperties>
</file>